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45" yWindow="0" windowWidth="28305" windowHeight="15585" tabRatio="500"/>
  </bookViews>
  <sheets>
    <sheet name="Summary" sheetId="13" r:id="rId1"/>
    <sheet name="Calculations" sheetId="6" r:id="rId2"/>
    <sheet name="Operator NPV" sheetId="14" r:id="rId3"/>
    <sheet name="CapEx Estimates" sheetId="12" r:id="rId4"/>
  </sheet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E26" i="13"/>
  <c r="Z3"/>
  <c r="AO3" i="6"/>
  <c r="AB3"/>
  <c r="AA4"/>
  <c r="Z4" i="13"/>
  <c r="AO4" i="6"/>
  <c r="AB4"/>
  <c r="AA5"/>
  <c r="Z5" i="13"/>
  <c r="AO5" i="6"/>
  <c r="AB5"/>
  <c r="AA6"/>
  <c r="Z6" i="13"/>
  <c r="AO6" i="6"/>
  <c r="AB6"/>
  <c r="AA7"/>
  <c r="Z7" i="13"/>
  <c r="AO7" i="6"/>
  <c r="AB7"/>
  <c r="AA8"/>
  <c r="Z8" i="13"/>
  <c r="AO8" i="6"/>
  <c r="AB8"/>
  <c r="AA9"/>
  <c r="Z9" i="13"/>
  <c r="AO9" i="6"/>
  <c r="AB9"/>
  <c r="AA10"/>
  <c r="Z10" i="13"/>
  <c r="AO10" i="6"/>
  <c r="AB10"/>
  <c r="AA11"/>
  <c r="Z11" i="13"/>
  <c r="AO11" i="6"/>
  <c r="AB11"/>
  <c r="AA12"/>
  <c r="Z12" i="13"/>
  <c r="AO12" i="6"/>
  <c r="AB12"/>
  <c r="AA13"/>
  <c r="Z13" i="13"/>
  <c r="AO13" i="6"/>
  <c r="AB13"/>
  <c r="AA14"/>
  <c r="Z14" i="13"/>
  <c r="AO14" i="6"/>
  <c r="AB14"/>
  <c r="AA15"/>
  <c r="Z15" i="13"/>
  <c r="AO15" i="6"/>
  <c r="AB15"/>
  <c r="AA16"/>
  <c r="Z16" i="13"/>
  <c r="AO16" i="6"/>
  <c r="AB16"/>
  <c r="AA17"/>
  <c r="Z17" i="13"/>
  <c r="AO17" i="6"/>
  <c r="AB17"/>
  <c r="AA18"/>
  <c r="Z18" i="13"/>
  <c r="AO18" i="6"/>
  <c r="AB18"/>
  <c r="AA19"/>
  <c r="Z19" i="13"/>
  <c r="AO19" i="6"/>
  <c r="AB19"/>
  <c r="AA20"/>
  <c r="Z20" i="13"/>
  <c r="AO20" i="6"/>
  <c r="AB20"/>
  <c r="AA21"/>
  <c r="Z21" i="13"/>
  <c r="AO21" i="6"/>
  <c r="AB21"/>
  <c r="AA22"/>
  <c r="Z22" i="13"/>
  <c r="AO22" i="6"/>
  <c r="AB22"/>
  <c r="AA23"/>
  <c r="Z23" i="13"/>
  <c r="AO23" i="6"/>
  <c r="AB23"/>
  <c r="AA24"/>
  <c r="Z24" i="13"/>
  <c r="AO24" i="6"/>
  <c r="AB24"/>
  <c r="AA25"/>
  <c r="Z25" i="13"/>
  <c r="AO25" i="6"/>
  <c r="AB25"/>
  <c r="AA26"/>
  <c r="Z26" i="13"/>
  <c r="AO26" i="6"/>
  <c r="AB26"/>
  <c r="AA27"/>
  <c r="Z27" i="13"/>
  <c r="AO27" i="6"/>
  <c r="AB27"/>
  <c r="AA28"/>
  <c r="Z28" i="13"/>
  <c r="AO28" i="6"/>
  <c r="AB28"/>
  <c r="AA29"/>
  <c r="Z29" i="13"/>
  <c r="AO29" i="6"/>
  <c r="AB29"/>
  <c r="AA30"/>
  <c r="Z30" i="13"/>
  <c r="AO30" i="6"/>
  <c r="AB30"/>
  <c r="AA31"/>
  <c r="Z31" i="13"/>
  <c r="AO31" i="6"/>
  <c r="AB31"/>
  <c r="AA32"/>
  <c r="Z32" i="13"/>
  <c r="AO32" i="6"/>
  <c r="AB32"/>
  <c r="AA33"/>
  <c r="Z33" i="13"/>
  <c r="AO33" i="6"/>
  <c r="AB33"/>
  <c r="AA34"/>
  <c r="Z34" i="13"/>
  <c r="AO34" i="6"/>
  <c r="AB34"/>
  <c r="AA35"/>
  <c r="Z35" i="13"/>
  <c r="AO35" i="6"/>
  <c r="AB35"/>
  <c r="AA36"/>
  <c r="Z36" i="13"/>
  <c r="AO36" i="6"/>
  <c r="AB36"/>
  <c r="AA37"/>
  <c r="Z37" i="13"/>
  <c r="AO37" i="6"/>
  <c r="AB37"/>
  <c r="AA38"/>
  <c r="Z38" i="13"/>
  <c r="AO38" i="6"/>
  <c r="AB38"/>
  <c r="AA39"/>
  <c r="Z39" i="13"/>
  <c r="AO39" i="6"/>
  <c r="AB39"/>
  <c r="AA40"/>
  <c r="Z40" i="13"/>
  <c r="AO40" i="6"/>
  <c r="AB40"/>
  <c r="AA41"/>
  <c r="Z41" i="13"/>
  <c r="AO41" i="6"/>
  <c r="AB41"/>
  <c r="AA42"/>
  <c r="Z42" i="13"/>
  <c r="AO42" i="6"/>
  <c r="AB42"/>
  <c r="AA43"/>
  <c r="Z43" i="13"/>
  <c r="AO43" i="6"/>
  <c r="AB43"/>
  <c r="AA44"/>
  <c r="Z44" i="13"/>
  <c r="AO44" i="6"/>
  <c r="AB44"/>
  <c r="AA45"/>
  <c r="Z45" i="13"/>
  <c r="AO45" i="6"/>
  <c r="AB45"/>
  <c r="AA46"/>
  <c r="Z46" i="13"/>
  <c r="AO46" i="6"/>
  <c r="AB46"/>
  <c r="AA47"/>
  <c r="Z47" i="13"/>
  <c r="AO47" i="6"/>
  <c r="AB47"/>
  <c r="AA48"/>
  <c r="Z48" i="13"/>
  <c r="AO48" i="6"/>
  <c r="AB48"/>
  <c r="AA49"/>
  <c r="Z49" i="13"/>
  <c r="AO49" i="6"/>
  <c r="AB49"/>
  <c r="AA50"/>
  <c r="Z50" i="13"/>
  <c r="AO50" i="6"/>
  <c r="AB50"/>
  <c r="AA51"/>
  <c r="Z51" i="13"/>
  <c r="AO51" i="6"/>
  <c r="AB51"/>
  <c r="AA52"/>
  <c r="Z52" i="13"/>
  <c r="AO52" i="6"/>
  <c r="AB52"/>
  <c r="AA53"/>
  <c r="E25" i="13"/>
  <c r="B12" i="6"/>
  <c r="J3"/>
  <c r="AC3"/>
  <c r="AD3"/>
  <c r="AF3"/>
  <c r="AC4"/>
  <c r="AD4"/>
  <c r="AF4"/>
  <c r="AC5"/>
  <c r="AD5"/>
  <c r="AF5"/>
  <c r="AC6"/>
  <c r="AD6"/>
  <c r="AF6"/>
  <c r="AC7"/>
  <c r="AD7"/>
  <c r="AF7"/>
  <c r="AC8"/>
  <c r="AD8"/>
  <c r="AF8"/>
  <c r="AC9"/>
  <c r="AD9"/>
  <c r="AF9"/>
  <c r="AC10"/>
  <c r="AD10"/>
  <c r="AF10"/>
  <c r="AC11"/>
  <c r="AD11"/>
  <c r="AF11"/>
  <c r="AC12"/>
  <c r="AD12"/>
  <c r="AF12"/>
  <c r="AC13"/>
  <c r="AD13"/>
  <c r="AF13"/>
  <c r="AC14"/>
  <c r="AD14"/>
  <c r="AF14"/>
  <c r="AC15"/>
  <c r="AD15"/>
  <c r="AF15"/>
  <c r="AC16"/>
  <c r="AD16"/>
  <c r="AF16"/>
  <c r="AC17"/>
  <c r="AD17"/>
  <c r="AF17"/>
  <c r="AC18"/>
  <c r="AD18"/>
  <c r="AF18"/>
  <c r="AC19"/>
  <c r="AD19"/>
  <c r="AF19"/>
  <c r="AC20"/>
  <c r="AD20"/>
  <c r="AF20"/>
  <c r="AC21"/>
  <c r="AD21"/>
  <c r="AF21"/>
  <c r="AC22"/>
  <c r="AD22"/>
  <c r="AF22"/>
  <c r="AC23"/>
  <c r="AD23"/>
  <c r="AF23"/>
  <c r="AC24"/>
  <c r="AD24"/>
  <c r="AF24"/>
  <c r="AC25"/>
  <c r="AD25"/>
  <c r="AF25"/>
  <c r="AC26"/>
  <c r="AD26"/>
  <c r="AF26"/>
  <c r="AC27"/>
  <c r="AD27"/>
  <c r="AF27"/>
  <c r="AC28"/>
  <c r="AD28"/>
  <c r="AF28"/>
  <c r="AC29"/>
  <c r="AD29"/>
  <c r="AF29"/>
  <c r="AC30"/>
  <c r="AD30"/>
  <c r="AF30"/>
  <c r="AC31"/>
  <c r="AD31"/>
  <c r="AF31"/>
  <c r="AC32"/>
  <c r="AD32"/>
  <c r="AF32"/>
  <c r="AC33"/>
  <c r="AD33"/>
  <c r="AF33"/>
  <c r="AC34"/>
  <c r="AD34"/>
  <c r="AF34"/>
  <c r="AC35"/>
  <c r="AD35"/>
  <c r="AF35"/>
  <c r="AC36"/>
  <c r="AD36"/>
  <c r="AF36"/>
  <c r="AC37"/>
  <c r="AD37"/>
  <c r="AF37"/>
  <c r="AC38"/>
  <c r="AD38"/>
  <c r="AF38"/>
  <c r="AC39"/>
  <c r="AD39"/>
  <c r="AF39"/>
  <c r="AC40"/>
  <c r="AD40"/>
  <c r="AF40"/>
  <c r="AC41"/>
  <c r="AD41"/>
  <c r="AF41"/>
  <c r="AC42"/>
  <c r="AD42"/>
  <c r="AF42"/>
  <c r="AC43"/>
  <c r="AD43"/>
  <c r="AF43"/>
  <c r="AC44"/>
  <c r="AD44"/>
  <c r="AF44"/>
  <c r="AC45"/>
  <c r="AD45"/>
  <c r="AF45"/>
  <c r="AC46"/>
  <c r="AD46"/>
  <c r="AF46"/>
  <c r="AC47"/>
  <c r="AD47"/>
  <c r="AF47"/>
  <c r="AC48"/>
  <c r="AD48"/>
  <c r="AF48"/>
  <c r="AC49"/>
  <c r="AD49"/>
  <c r="AF49"/>
  <c r="AC50"/>
  <c r="AD50"/>
  <c r="AF50"/>
  <c r="AC51"/>
  <c r="AD51"/>
  <c r="AF51"/>
  <c r="AC52"/>
  <c r="AD52"/>
  <c r="AF52"/>
  <c r="AC53"/>
  <c r="E24" i="13"/>
  <c r="D26"/>
  <c r="U3" i="6"/>
  <c r="V3"/>
  <c r="X3"/>
  <c r="U4"/>
  <c r="V4"/>
  <c r="X4"/>
  <c r="U5"/>
  <c r="V5"/>
  <c r="X5"/>
  <c r="U6"/>
  <c r="V6"/>
  <c r="X6"/>
  <c r="U7"/>
  <c r="V7"/>
  <c r="X7"/>
  <c r="U8"/>
  <c r="V8"/>
  <c r="X8"/>
  <c r="U9"/>
  <c r="V9"/>
  <c r="X9"/>
  <c r="U10"/>
  <c r="V10"/>
  <c r="X10"/>
  <c r="U11"/>
  <c r="V11"/>
  <c r="X11"/>
  <c r="U12"/>
  <c r="V12"/>
  <c r="X12"/>
  <c r="U13"/>
  <c r="V13"/>
  <c r="X13"/>
  <c r="U14"/>
  <c r="V14"/>
  <c r="X14"/>
  <c r="U15"/>
  <c r="V15"/>
  <c r="X15"/>
  <c r="U16"/>
  <c r="V16"/>
  <c r="X16"/>
  <c r="U17"/>
  <c r="V17"/>
  <c r="X17"/>
  <c r="U18"/>
  <c r="V18"/>
  <c r="X18"/>
  <c r="U19"/>
  <c r="V19"/>
  <c r="X19"/>
  <c r="U20"/>
  <c r="V20"/>
  <c r="X20"/>
  <c r="U21"/>
  <c r="V21"/>
  <c r="X21"/>
  <c r="U22"/>
  <c r="V22"/>
  <c r="X22"/>
  <c r="U23"/>
  <c r="V23"/>
  <c r="X23"/>
  <c r="U24"/>
  <c r="V24"/>
  <c r="X24"/>
  <c r="U25"/>
  <c r="V25"/>
  <c r="X25"/>
  <c r="U26"/>
  <c r="V26"/>
  <c r="X26"/>
  <c r="U27"/>
  <c r="V27"/>
  <c r="X27"/>
  <c r="U28"/>
  <c r="V28"/>
  <c r="X28"/>
  <c r="U29"/>
  <c r="V29"/>
  <c r="X29"/>
  <c r="U30"/>
  <c r="V30"/>
  <c r="X30"/>
  <c r="U31"/>
  <c r="V31"/>
  <c r="X31"/>
  <c r="U32"/>
  <c r="V32"/>
  <c r="X32"/>
  <c r="U33"/>
  <c r="V33"/>
  <c r="X33"/>
  <c r="U34"/>
  <c r="V34"/>
  <c r="X34"/>
  <c r="U35"/>
  <c r="V35"/>
  <c r="X35"/>
  <c r="U36"/>
  <c r="V36"/>
  <c r="X36"/>
  <c r="U37"/>
  <c r="V37"/>
  <c r="X37"/>
  <c r="U38"/>
  <c r="V38"/>
  <c r="X38"/>
  <c r="U39"/>
  <c r="V39"/>
  <c r="X39"/>
  <c r="U40"/>
  <c r="V40"/>
  <c r="X40"/>
  <c r="U41"/>
  <c r="V41"/>
  <c r="X41"/>
  <c r="U42"/>
  <c r="V42"/>
  <c r="X42"/>
  <c r="U43"/>
  <c r="V43"/>
  <c r="X43"/>
  <c r="U44"/>
  <c r="V44"/>
  <c r="X44"/>
  <c r="U45"/>
  <c r="V45"/>
  <c r="X45"/>
  <c r="U46"/>
  <c r="V46"/>
  <c r="X46"/>
  <c r="U47"/>
  <c r="V47"/>
  <c r="X47"/>
  <c r="U48"/>
  <c r="V48"/>
  <c r="X48"/>
  <c r="U49"/>
  <c r="V49"/>
  <c r="X49"/>
  <c r="U50"/>
  <c r="V50"/>
  <c r="X50"/>
  <c r="U51"/>
  <c r="V51"/>
  <c r="X51"/>
  <c r="U52"/>
  <c r="V52"/>
  <c r="X52"/>
  <c r="U53"/>
  <c r="D24" i="13"/>
  <c r="B6" i="6"/>
  <c r="D3"/>
  <c r="B5"/>
  <c r="E3"/>
  <c r="F3"/>
  <c r="N3"/>
  <c r="B7"/>
  <c r="G3"/>
  <c r="X3" i="13"/>
  <c r="AM3" i="6"/>
  <c r="H3"/>
  <c r="AN3"/>
  <c r="O3"/>
  <c r="P3"/>
  <c r="Y3"/>
  <c r="AQ4"/>
  <c r="Y4"/>
  <c r="AQ5"/>
  <c r="Y5"/>
  <c r="AQ6"/>
  <c r="Y6"/>
  <c r="AQ7"/>
  <c r="Y7"/>
  <c r="AQ8"/>
  <c r="Y8"/>
  <c r="AQ9"/>
  <c r="Y9"/>
  <c r="AQ10"/>
  <c r="Y10"/>
  <c r="AQ11"/>
  <c r="Y11"/>
  <c r="AQ12"/>
  <c r="Y12"/>
  <c r="AQ13"/>
  <c r="Y13"/>
  <c r="AQ14"/>
  <c r="Y14"/>
  <c r="AQ15"/>
  <c r="Y15"/>
  <c r="AQ16"/>
  <c r="Y16"/>
  <c r="AQ17"/>
  <c r="Y17"/>
  <c r="AQ18"/>
  <c r="Y18"/>
  <c r="AQ19"/>
  <c r="Y19"/>
  <c r="AQ20"/>
  <c r="Y20"/>
  <c r="AQ21"/>
  <c r="Y21"/>
  <c r="AQ22"/>
  <c r="Y22"/>
  <c r="AQ23"/>
  <c r="Y23"/>
  <c r="AQ24"/>
  <c r="Y24"/>
  <c r="AQ25"/>
  <c r="Y25"/>
  <c r="AQ26"/>
  <c r="Y26"/>
  <c r="AQ27"/>
  <c r="Y27"/>
  <c r="AQ28"/>
  <c r="Y28"/>
  <c r="AQ29"/>
  <c r="Y29"/>
  <c r="AQ30"/>
  <c r="Y30"/>
  <c r="AQ31"/>
  <c r="Y31"/>
  <c r="AQ32"/>
  <c r="Y32"/>
  <c r="AQ33"/>
  <c r="Y33"/>
  <c r="AQ34"/>
  <c r="Y34"/>
  <c r="AQ35"/>
  <c r="Y35"/>
  <c r="AQ36"/>
  <c r="Y36"/>
  <c r="AQ37"/>
  <c r="Y37"/>
  <c r="AQ38"/>
  <c r="Y38"/>
  <c r="AQ39"/>
  <c r="Y39"/>
  <c r="AQ40"/>
  <c r="Y40"/>
  <c r="AQ41"/>
  <c r="Y41"/>
  <c r="AQ42"/>
  <c r="Y42"/>
  <c r="AQ43"/>
  <c r="Y43"/>
  <c r="AQ44"/>
  <c r="Y44"/>
  <c r="AQ45"/>
  <c r="Y45"/>
  <c r="AQ46"/>
  <c r="Y46"/>
  <c r="AQ47"/>
  <c r="Y47"/>
  <c r="AQ48"/>
  <c r="Y48"/>
  <c r="AQ49"/>
  <c r="Y49"/>
  <c r="AQ50"/>
  <c r="Y50"/>
  <c r="AQ51"/>
  <c r="Y51"/>
  <c r="AQ52"/>
  <c r="Y52"/>
  <c r="Y53"/>
  <c r="Z3"/>
  <c r="AG4"/>
  <c r="AH4"/>
  <c r="D4"/>
  <c r="AI4"/>
  <c r="AJ4"/>
  <c r="E4"/>
  <c r="F4"/>
  <c r="AK4"/>
  <c r="N4"/>
  <c r="AL4"/>
  <c r="G4"/>
  <c r="X4" i="13"/>
  <c r="AM4" i="6"/>
  <c r="H4"/>
  <c r="AN4"/>
  <c r="O4"/>
  <c r="P4"/>
  <c r="Z4"/>
  <c r="AG5"/>
  <c r="AH5"/>
  <c r="D5"/>
  <c r="AI5"/>
  <c r="AJ5"/>
  <c r="E5"/>
  <c r="F5"/>
  <c r="AK5"/>
  <c r="N5"/>
  <c r="AL5"/>
  <c r="G5"/>
  <c r="X5" i="13"/>
  <c r="AM5" i="6"/>
  <c r="H5"/>
  <c r="AN5"/>
  <c r="O5"/>
  <c r="P5"/>
  <c r="Z5"/>
  <c r="AG6"/>
  <c r="AH6"/>
  <c r="D6"/>
  <c r="AI6"/>
  <c r="AJ6"/>
  <c r="E6"/>
  <c r="F6"/>
  <c r="AK6"/>
  <c r="N6"/>
  <c r="AL6"/>
  <c r="G6"/>
  <c r="X6" i="13"/>
  <c r="AM6" i="6"/>
  <c r="H6"/>
  <c r="AN6"/>
  <c r="O6"/>
  <c r="P6"/>
  <c r="Z6"/>
  <c r="AG7"/>
  <c r="AH7"/>
  <c r="D7"/>
  <c r="AI7"/>
  <c r="AJ7"/>
  <c r="E7"/>
  <c r="F7"/>
  <c r="AK7"/>
  <c r="N7"/>
  <c r="AL7"/>
  <c r="G7"/>
  <c r="X7" i="13"/>
  <c r="AM7" i="6"/>
  <c r="H7"/>
  <c r="AN7"/>
  <c r="O7"/>
  <c r="P7"/>
  <c r="Z7"/>
  <c r="AG8"/>
  <c r="AH8"/>
  <c r="D8"/>
  <c r="AI8"/>
  <c r="AJ8"/>
  <c r="E8"/>
  <c r="F8"/>
  <c r="AK8"/>
  <c r="N8"/>
  <c r="AL8"/>
  <c r="G8"/>
  <c r="X8" i="13"/>
  <c r="AM8" i="6"/>
  <c r="H8"/>
  <c r="AN8"/>
  <c r="O8"/>
  <c r="P8"/>
  <c r="Z8"/>
  <c r="AG9"/>
  <c r="AH9"/>
  <c r="D9"/>
  <c r="AI9"/>
  <c r="AJ9"/>
  <c r="E9"/>
  <c r="F9"/>
  <c r="AK9"/>
  <c r="N9"/>
  <c r="AL9"/>
  <c r="G9"/>
  <c r="X9" i="13"/>
  <c r="AM9" i="6"/>
  <c r="H9"/>
  <c r="AN9"/>
  <c r="O9"/>
  <c r="P9"/>
  <c r="Z9"/>
  <c r="AG10"/>
  <c r="AH10"/>
  <c r="D10"/>
  <c r="AI10"/>
  <c r="AJ10"/>
  <c r="E10"/>
  <c r="F10"/>
  <c r="AK10"/>
  <c r="N10"/>
  <c r="AL10"/>
  <c r="G10"/>
  <c r="X10" i="13"/>
  <c r="AM10" i="6"/>
  <c r="H10"/>
  <c r="AN10"/>
  <c r="O10"/>
  <c r="P10"/>
  <c r="Z10"/>
  <c r="AG11"/>
  <c r="AH11"/>
  <c r="D11"/>
  <c r="AI11"/>
  <c r="AJ11"/>
  <c r="E11"/>
  <c r="F11"/>
  <c r="AK11"/>
  <c r="N11"/>
  <c r="AL11"/>
  <c r="G11"/>
  <c r="X11" i="13"/>
  <c r="AM11" i="6"/>
  <c r="H11"/>
  <c r="AN11"/>
  <c r="O11"/>
  <c r="P11"/>
  <c r="Z11"/>
  <c r="AG12"/>
  <c r="AH12"/>
  <c r="D12"/>
  <c r="AI12"/>
  <c r="AJ12"/>
  <c r="E12"/>
  <c r="F12"/>
  <c r="AK12"/>
  <c r="N12"/>
  <c r="AL12"/>
  <c r="G12"/>
  <c r="X12" i="13"/>
  <c r="AM12" i="6"/>
  <c r="H12"/>
  <c r="AN12"/>
  <c r="O12"/>
  <c r="P12"/>
  <c r="Z12"/>
  <c r="AG13"/>
  <c r="AH13"/>
  <c r="D13"/>
  <c r="AI13"/>
  <c r="AJ13"/>
  <c r="E13"/>
  <c r="F13"/>
  <c r="AK13"/>
  <c r="N13"/>
  <c r="AL13"/>
  <c r="G13"/>
  <c r="X13" i="13"/>
  <c r="AM13" i="6"/>
  <c r="H13"/>
  <c r="AN13"/>
  <c r="O13"/>
  <c r="P13"/>
  <c r="Z13"/>
  <c r="AG14"/>
  <c r="AH14"/>
  <c r="D14"/>
  <c r="AI14"/>
  <c r="AJ14"/>
  <c r="E14"/>
  <c r="F14"/>
  <c r="AK14"/>
  <c r="N14"/>
  <c r="AL14"/>
  <c r="G14"/>
  <c r="X14" i="13"/>
  <c r="AM14" i="6"/>
  <c r="H14"/>
  <c r="AN14"/>
  <c r="O14"/>
  <c r="P14"/>
  <c r="Z14"/>
  <c r="AG15"/>
  <c r="AH15"/>
  <c r="D15"/>
  <c r="AI15"/>
  <c r="AJ15"/>
  <c r="E15"/>
  <c r="F15"/>
  <c r="AK15"/>
  <c r="N15"/>
  <c r="AL15"/>
  <c r="G15"/>
  <c r="X15" i="13"/>
  <c r="AM15" i="6"/>
  <c r="H15"/>
  <c r="AN15"/>
  <c r="O15"/>
  <c r="P15"/>
  <c r="Z15"/>
  <c r="AG16"/>
  <c r="AH16"/>
  <c r="D16"/>
  <c r="AI16"/>
  <c r="AJ16"/>
  <c r="E16"/>
  <c r="F16"/>
  <c r="AK16"/>
  <c r="N16"/>
  <c r="AL16"/>
  <c r="G16"/>
  <c r="X16" i="13"/>
  <c r="AM16" i="6"/>
  <c r="H16"/>
  <c r="AN16"/>
  <c r="O16"/>
  <c r="P16"/>
  <c r="Z16"/>
  <c r="AG17"/>
  <c r="AH17"/>
  <c r="D17"/>
  <c r="AI17"/>
  <c r="AJ17"/>
  <c r="E17"/>
  <c r="F17"/>
  <c r="AK17"/>
  <c r="N17"/>
  <c r="AL17"/>
  <c r="G17"/>
  <c r="X17" i="13"/>
  <c r="AM17" i="6"/>
  <c r="H17"/>
  <c r="AN17"/>
  <c r="O17"/>
  <c r="P17"/>
  <c r="Z17"/>
  <c r="AG18"/>
  <c r="AH18"/>
  <c r="D18"/>
  <c r="AI18"/>
  <c r="AJ18"/>
  <c r="E18"/>
  <c r="F18"/>
  <c r="AK18"/>
  <c r="N18"/>
  <c r="AL18"/>
  <c r="G18"/>
  <c r="X18" i="13"/>
  <c r="AM18" i="6"/>
  <c r="H18"/>
  <c r="AN18"/>
  <c r="O18"/>
  <c r="P18"/>
  <c r="Z18"/>
  <c r="AG19"/>
  <c r="AH19"/>
  <c r="D19"/>
  <c r="AI19"/>
  <c r="AJ19"/>
  <c r="E19"/>
  <c r="F19"/>
  <c r="AK19"/>
  <c r="N19"/>
  <c r="AL19"/>
  <c r="G19"/>
  <c r="X19" i="13"/>
  <c r="AM19" i="6"/>
  <c r="H19"/>
  <c r="AN19"/>
  <c r="O19"/>
  <c r="P19"/>
  <c r="Z19"/>
  <c r="AG20"/>
  <c r="AH20"/>
  <c r="D20"/>
  <c r="AI20"/>
  <c r="AJ20"/>
  <c r="E20"/>
  <c r="F20"/>
  <c r="AK20"/>
  <c r="N20"/>
  <c r="AL20"/>
  <c r="G20"/>
  <c r="X20" i="13"/>
  <c r="AM20" i="6"/>
  <c r="H20"/>
  <c r="AN20"/>
  <c r="O20"/>
  <c r="P20"/>
  <c r="Z20"/>
  <c r="AG21"/>
  <c r="AH21"/>
  <c r="D21"/>
  <c r="AI21"/>
  <c r="AJ21"/>
  <c r="E21"/>
  <c r="F21"/>
  <c r="AK21"/>
  <c r="N21"/>
  <c r="AL21"/>
  <c r="G21"/>
  <c r="X21" i="13"/>
  <c r="AM21" i="6"/>
  <c r="H21"/>
  <c r="AN21"/>
  <c r="O21"/>
  <c r="P21"/>
  <c r="Z21"/>
  <c r="AG22"/>
  <c r="AH22"/>
  <c r="D22"/>
  <c r="AI22"/>
  <c r="AJ22"/>
  <c r="E22"/>
  <c r="F22"/>
  <c r="AK22"/>
  <c r="N22"/>
  <c r="AL22"/>
  <c r="G22"/>
  <c r="X22" i="13"/>
  <c r="AM22" i="6"/>
  <c r="H22"/>
  <c r="AN22"/>
  <c r="O22"/>
  <c r="P22"/>
  <c r="Z22"/>
  <c r="AG23"/>
  <c r="AH23"/>
  <c r="D23"/>
  <c r="AI23"/>
  <c r="AJ23"/>
  <c r="E23"/>
  <c r="F23"/>
  <c r="AK23"/>
  <c r="N23"/>
  <c r="AL23"/>
  <c r="G23"/>
  <c r="X23" i="13"/>
  <c r="AM23" i="6"/>
  <c r="H23"/>
  <c r="AN23"/>
  <c r="O23"/>
  <c r="P23"/>
  <c r="Z23"/>
  <c r="AG24"/>
  <c r="AH24"/>
  <c r="D24"/>
  <c r="AI24"/>
  <c r="AJ24"/>
  <c r="E24"/>
  <c r="F24"/>
  <c r="AK24"/>
  <c r="N24"/>
  <c r="AL24"/>
  <c r="G24"/>
  <c r="X24" i="13"/>
  <c r="AM24" i="6"/>
  <c r="H24"/>
  <c r="AN24"/>
  <c r="O24"/>
  <c r="P24"/>
  <c r="Z24"/>
  <c r="AG25"/>
  <c r="AH25"/>
  <c r="D25"/>
  <c r="AI25"/>
  <c r="AJ25"/>
  <c r="E25"/>
  <c r="F25"/>
  <c r="AK25"/>
  <c r="N25"/>
  <c r="AL25"/>
  <c r="G25"/>
  <c r="X25" i="13"/>
  <c r="AM25" i="6"/>
  <c r="H25"/>
  <c r="AN25"/>
  <c r="O25"/>
  <c r="P25"/>
  <c r="Z25"/>
  <c r="AG26"/>
  <c r="AH26"/>
  <c r="D26"/>
  <c r="AI26"/>
  <c r="AJ26"/>
  <c r="E26"/>
  <c r="F26"/>
  <c r="AK26"/>
  <c r="N26"/>
  <c r="AL26"/>
  <c r="G26"/>
  <c r="X26" i="13"/>
  <c r="AM26" i="6"/>
  <c r="H26"/>
  <c r="AN26"/>
  <c r="O26"/>
  <c r="P26"/>
  <c r="Z26"/>
  <c r="AG27"/>
  <c r="AH27"/>
  <c r="D27"/>
  <c r="AI27"/>
  <c r="AJ27"/>
  <c r="E27"/>
  <c r="F27"/>
  <c r="AK27"/>
  <c r="N27"/>
  <c r="AL27"/>
  <c r="G27"/>
  <c r="X27" i="13"/>
  <c r="AM27" i="6"/>
  <c r="H27"/>
  <c r="AN27"/>
  <c r="O27"/>
  <c r="P27"/>
  <c r="Z27"/>
  <c r="AG28"/>
  <c r="AH28"/>
  <c r="D28"/>
  <c r="AI28"/>
  <c r="AJ28"/>
  <c r="E28"/>
  <c r="F28"/>
  <c r="AK28"/>
  <c r="N28"/>
  <c r="AL28"/>
  <c r="G28"/>
  <c r="X28" i="13"/>
  <c r="AM28" i="6"/>
  <c r="H28"/>
  <c r="AN28"/>
  <c r="O28"/>
  <c r="P28"/>
  <c r="Z28"/>
  <c r="AG29"/>
  <c r="AH29"/>
  <c r="D29"/>
  <c r="AI29"/>
  <c r="AJ29"/>
  <c r="E29"/>
  <c r="F29"/>
  <c r="AK29"/>
  <c r="N29"/>
  <c r="AL29"/>
  <c r="G29"/>
  <c r="X29" i="13"/>
  <c r="AM29" i="6"/>
  <c r="H29"/>
  <c r="AN29"/>
  <c r="O29"/>
  <c r="P29"/>
  <c r="Z29"/>
  <c r="AG30"/>
  <c r="AH30"/>
  <c r="D30"/>
  <c r="AI30"/>
  <c r="AJ30"/>
  <c r="E30"/>
  <c r="F30"/>
  <c r="AK30"/>
  <c r="N30"/>
  <c r="AL30"/>
  <c r="G30"/>
  <c r="X30" i="13"/>
  <c r="AM30" i="6"/>
  <c r="H30"/>
  <c r="AN30"/>
  <c r="O30"/>
  <c r="P30"/>
  <c r="Z30"/>
  <c r="AG31"/>
  <c r="AH31"/>
  <c r="D31"/>
  <c r="AI31"/>
  <c r="AJ31"/>
  <c r="E31"/>
  <c r="F31"/>
  <c r="AK31"/>
  <c r="N31"/>
  <c r="AL31"/>
  <c r="G31"/>
  <c r="X31" i="13"/>
  <c r="AM31" i="6"/>
  <c r="H31"/>
  <c r="AN31"/>
  <c r="O31"/>
  <c r="P31"/>
  <c r="Z31"/>
  <c r="AG32"/>
  <c r="AH32"/>
  <c r="D32"/>
  <c r="AI32"/>
  <c r="AJ32"/>
  <c r="E32"/>
  <c r="F32"/>
  <c r="AK32"/>
  <c r="N32"/>
  <c r="AL32"/>
  <c r="G32"/>
  <c r="X32" i="13"/>
  <c r="AM32" i="6"/>
  <c r="H32"/>
  <c r="AN32"/>
  <c r="O32"/>
  <c r="P32"/>
  <c r="Z32"/>
  <c r="AG33"/>
  <c r="AH33"/>
  <c r="D33"/>
  <c r="AI33"/>
  <c r="AJ33"/>
  <c r="E33"/>
  <c r="F33"/>
  <c r="AK33"/>
  <c r="N33"/>
  <c r="AL33"/>
  <c r="G33"/>
  <c r="X33" i="13"/>
  <c r="AM33" i="6"/>
  <c r="H33"/>
  <c r="AN33"/>
  <c r="O33"/>
  <c r="P33"/>
  <c r="Z33"/>
  <c r="AG34"/>
  <c r="AH34"/>
  <c r="D34"/>
  <c r="AI34"/>
  <c r="AJ34"/>
  <c r="E34"/>
  <c r="F34"/>
  <c r="AK34"/>
  <c r="N34"/>
  <c r="AL34"/>
  <c r="G34"/>
  <c r="X34" i="13"/>
  <c r="AM34" i="6"/>
  <c r="H34"/>
  <c r="AN34"/>
  <c r="O34"/>
  <c r="P34"/>
  <c r="Z34"/>
  <c r="AG35"/>
  <c r="AH35"/>
  <c r="D35"/>
  <c r="AI35"/>
  <c r="AJ35"/>
  <c r="E35"/>
  <c r="F35"/>
  <c r="AK35"/>
  <c r="N35"/>
  <c r="AL35"/>
  <c r="G35"/>
  <c r="X35" i="13"/>
  <c r="AM35" i="6"/>
  <c r="H35"/>
  <c r="AN35"/>
  <c r="O35"/>
  <c r="P35"/>
  <c r="Z35"/>
  <c r="AG36"/>
  <c r="AH36"/>
  <c r="D36"/>
  <c r="AI36"/>
  <c r="AJ36"/>
  <c r="E36"/>
  <c r="F36"/>
  <c r="AK36"/>
  <c r="N36"/>
  <c r="AL36"/>
  <c r="G36"/>
  <c r="X36" i="13"/>
  <c r="AM36" i="6"/>
  <c r="H36"/>
  <c r="AN36"/>
  <c r="O36"/>
  <c r="P36"/>
  <c r="Z36"/>
  <c r="AG37"/>
  <c r="AH37"/>
  <c r="D37"/>
  <c r="AI37"/>
  <c r="AJ37"/>
  <c r="E37"/>
  <c r="F37"/>
  <c r="AK37"/>
  <c r="N37"/>
  <c r="AL37"/>
  <c r="G37"/>
  <c r="X37" i="13"/>
  <c r="AM37" i="6"/>
  <c r="H37"/>
  <c r="AN37"/>
  <c r="O37"/>
  <c r="P37"/>
  <c r="Z37"/>
  <c r="AG38"/>
  <c r="AH38"/>
  <c r="D38"/>
  <c r="AI38"/>
  <c r="AJ38"/>
  <c r="E38"/>
  <c r="F38"/>
  <c r="AK38"/>
  <c r="N38"/>
  <c r="AL38"/>
  <c r="G38"/>
  <c r="X38" i="13"/>
  <c r="AM38" i="6"/>
  <c r="H38"/>
  <c r="AN38"/>
  <c r="O38"/>
  <c r="P38"/>
  <c r="Z38"/>
  <c r="AG39"/>
  <c r="AH39"/>
  <c r="D39"/>
  <c r="AI39"/>
  <c r="AJ39"/>
  <c r="E39"/>
  <c r="F39"/>
  <c r="AK39"/>
  <c r="N39"/>
  <c r="AL39"/>
  <c r="G39"/>
  <c r="X39" i="13"/>
  <c r="AM39" i="6"/>
  <c r="H39"/>
  <c r="AN39"/>
  <c r="O39"/>
  <c r="P39"/>
  <c r="Z39"/>
  <c r="AG40"/>
  <c r="AH40"/>
  <c r="D40"/>
  <c r="AI40"/>
  <c r="AJ40"/>
  <c r="E40"/>
  <c r="F40"/>
  <c r="AK40"/>
  <c r="N40"/>
  <c r="AL40"/>
  <c r="G40"/>
  <c r="X40" i="13"/>
  <c r="AM40" i="6"/>
  <c r="H40"/>
  <c r="AN40"/>
  <c r="O40"/>
  <c r="P40"/>
  <c r="Z40"/>
  <c r="AG41"/>
  <c r="AH41"/>
  <c r="D41"/>
  <c r="AI41"/>
  <c r="AJ41"/>
  <c r="E41"/>
  <c r="F41"/>
  <c r="AK41"/>
  <c r="N41"/>
  <c r="AL41"/>
  <c r="G41"/>
  <c r="X41" i="13"/>
  <c r="AM41" i="6"/>
  <c r="H41"/>
  <c r="AN41"/>
  <c r="O41"/>
  <c r="P41"/>
  <c r="Z41"/>
  <c r="AG42"/>
  <c r="AH42"/>
  <c r="D42"/>
  <c r="AI42"/>
  <c r="AJ42"/>
  <c r="E42"/>
  <c r="F42"/>
  <c r="AK42"/>
  <c r="N42"/>
  <c r="AL42"/>
  <c r="G42"/>
  <c r="X42" i="13"/>
  <c r="AM42" i="6"/>
  <c r="H42"/>
  <c r="AN42"/>
  <c r="O42"/>
  <c r="P42"/>
  <c r="Z42"/>
  <c r="AG43"/>
  <c r="AH43"/>
  <c r="D43"/>
  <c r="AI43"/>
  <c r="AJ43"/>
  <c r="E43"/>
  <c r="F43"/>
  <c r="AK43"/>
  <c r="N43"/>
  <c r="AL43"/>
  <c r="G43"/>
  <c r="X43" i="13"/>
  <c r="AM43" i="6"/>
  <c r="H43"/>
  <c r="AN43"/>
  <c r="O43"/>
  <c r="P43"/>
  <c r="Z43"/>
  <c r="AG44"/>
  <c r="AH44"/>
  <c r="D44"/>
  <c r="AI44"/>
  <c r="AJ44"/>
  <c r="E44"/>
  <c r="F44"/>
  <c r="AK44"/>
  <c r="N44"/>
  <c r="AL44"/>
  <c r="G44"/>
  <c r="X44" i="13"/>
  <c r="AM44" i="6"/>
  <c r="H44"/>
  <c r="AN44"/>
  <c r="O44"/>
  <c r="P44"/>
  <c r="Z44"/>
  <c r="AG45"/>
  <c r="AH45"/>
  <c r="D45"/>
  <c r="AI45"/>
  <c r="AJ45"/>
  <c r="E45"/>
  <c r="F45"/>
  <c r="AK45"/>
  <c r="N45"/>
  <c r="AL45"/>
  <c r="G45"/>
  <c r="X45" i="13"/>
  <c r="AM45" i="6"/>
  <c r="H45"/>
  <c r="AN45"/>
  <c r="O45"/>
  <c r="P45"/>
  <c r="Z45"/>
  <c r="AG46"/>
  <c r="AH46"/>
  <c r="D46"/>
  <c r="AI46"/>
  <c r="AJ46"/>
  <c r="E46"/>
  <c r="F46"/>
  <c r="AK46"/>
  <c r="N46"/>
  <c r="AL46"/>
  <c r="G46"/>
  <c r="X46" i="13"/>
  <c r="AM46" i="6"/>
  <c r="H46"/>
  <c r="AN46"/>
  <c r="O46"/>
  <c r="P46"/>
  <c r="Z46"/>
  <c r="AG47"/>
  <c r="AH47"/>
  <c r="D47"/>
  <c r="AI47"/>
  <c r="AJ47"/>
  <c r="E47"/>
  <c r="F47"/>
  <c r="AK47"/>
  <c r="N47"/>
  <c r="AL47"/>
  <c r="G47"/>
  <c r="X47" i="13"/>
  <c r="AM47" i="6"/>
  <c r="H47"/>
  <c r="AN47"/>
  <c r="O47"/>
  <c r="P47"/>
  <c r="Z47"/>
  <c r="AG48"/>
  <c r="AH48"/>
  <c r="D48"/>
  <c r="AI48"/>
  <c r="AJ48"/>
  <c r="E48"/>
  <c r="F48"/>
  <c r="AK48"/>
  <c r="N48"/>
  <c r="AL48"/>
  <c r="G48"/>
  <c r="X48" i="13"/>
  <c r="AM48" i="6"/>
  <c r="H48"/>
  <c r="AN48"/>
  <c r="O48"/>
  <c r="P48"/>
  <c r="Z48"/>
  <c r="AG49"/>
  <c r="AH49"/>
  <c r="D49"/>
  <c r="AI49"/>
  <c r="AJ49"/>
  <c r="E49"/>
  <c r="F49"/>
  <c r="AK49"/>
  <c r="N49"/>
  <c r="AL49"/>
  <c r="G49"/>
  <c r="X49" i="13"/>
  <c r="AM49" i="6"/>
  <c r="H49"/>
  <c r="AN49"/>
  <c r="O49"/>
  <c r="P49"/>
  <c r="Z49"/>
  <c r="AG50"/>
  <c r="AH50"/>
  <c r="D50"/>
  <c r="AI50"/>
  <c r="AJ50"/>
  <c r="E50"/>
  <c r="F50"/>
  <c r="AK50"/>
  <c r="N50"/>
  <c r="AL50"/>
  <c r="G50"/>
  <c r="X50" i="13"/>
  <c r="AM50" i="6"/>
  <c r="H50"/>
  <c r="AN50"/>
  <c r="O50"/>
  <c r="P50"/>
  <c r="Z50"/>
  <c r="AG51"/>
  <c r="AH51"/>
  <c r="D51"/>
  <c r="AI51"/>
  <c r="AJ51"/>
  <c r="E51"/>
  <c r="F51"/>
  <c r="AK51"/>
  <c r="N51"/>
  <c r="AL51"/>
  <c r="G51"/>
  <c r="X51" i="13"/>
  <c r="AM51" i="6"/>
  <c r="H51"/>
  <c r="AN51"/>
  <c r="O51"/>
  <c r="P51"/>
  <c r="Z51"/>
  <c r="AG52"/>
  <c r="AH52"/>
  <c r="D52"/>
  <c r="AI52"/>
  <c r="AJ52"/>
  <c r="E52"/>
  <c r="F52"/>
  <c r="AK52"/>
  <c r="N52"/>
  <c r="AL52"/>
  <c r="G52"/>
  <c r="X52" i="13"/>
  <c r="AM52" i="6"/>
  <c r="H52"/>
  <c r="AN52"/>
  <c r="O52"/>
  <c r="P52"/>
  <c r="Z52"/>
  <c r="AE3"/>
  <c r="AE4"/>
  <c r="AE5"/>
  <c r="AE6"/>
  <c r="AE7"/>
  <c r="AE8"/>
  <c r="AE9"/>
  <c r="AE10"/>
  <c r="AE11"/>
  <c r="AE12"/>
  <c r="AE13"/>
  <c r="AE14"/>
  <c r="AE15"/>
  <c r="AE16"/>
  <c r="AE17"/>
  <c r="AE18"/>
  <c r="AE19"/>
  <c r="AE20"/>
  <c r="AE21"/>
  <c r="AE22"/>
  <c r="AE23"/>
  <c r="AE24"/>
  <c r="AE25"/>
  <c r="AE26"/>
  <c r="AE27"/>
  <c r="AE28"/>
  <c r="AE29"/>
  <c r="AE30"/>
  <c r="AE31"/>
  <c r="AE32"/>
  <c r="AE33"/>
  <c r="AE34"/>
  <c r="AE35"/>
  <c r="AE36"/>
  <c r="AE37"/>
  <c r="AE38"/>
  <c r="AE39"/>
  <c r="AE40"/>
  <c r="AE41"/>
  <c r="AE42"/>
  <c r="AE43"/>
  <c r="AE44"/>
  <c r="AE45"/>
  <c r="AE46"/>
  <c r="AE47"/>
  <c r="AE48"/>
  <c r="AE49"/>
  <c r="AE50"/>
  <c r="AE51"/>
  <c r="AE52"/>
  <c r="W3"/>
  <c r="W4"/>
  <c r="W5"/>
  <c r="W6"/>
  <c r="W7"/>
  <c r="W8"/>
  <c r="W9"/>
  <c r="W10"/>
  <c r="W11"/>
  <c r="W12"/>
  <c r="W13"/>
  <c r="W14"/>
  <c r="W15"/>
  <c r="W16"/>
  <c r="W17"/>
  <c r="W18"/>
  <c r="W19"/>
  <c r="W20"/>
  <c r="W21"/>
  <c r="W22"/>
  <c r="W23"/>
  <c r="W24"/>
  <c r="W25"/>
  <c r="W26"/>
  <c r="W27"/>
  <c r="W28"/>
  <c r="W29"/>
  <c r="W30"/>
  <c r="W31"/>
  <c r="W32"/>
  <c r="W33"/>
  <c r="W34"/>
  <c r="W35"/>
  <c r="W36"/>
  <c r="W37"/>
  <c r="W38"/>
  <c r="W39"/>
  <c r="W40"/>
  <c r="W41"/>
  <c r="W42"/>
  <c r="W43"/>
  <c r="W44"/>
  <c r="W45"/>
  <c r="W46"/>
  <c r="W47"/>
  <c r="W48"/>
  <c r="W49"/>
  <c r="W50"/>
  <c r="W51"/>
  <c r="W52"/>
  <c r="W53"/>
  <c r="AA3" i="13"/>
  <c r="AP3" i="6"/>
  <c r="L3"/>
  <c r="K3"/>
  <c r="M3"/>
  <c r="J4"/>
  <c r="AA4" i="13"/>
  <c r="AP4" i="6"/>
  <c r="L4"/>
  <c r="K4"/>
  <c r="M4"/>
  <c r="J5"/>
  <c r="AA5" i="13"/>
  <c r="AP5" i="6"/>
  <c r="L5"/>
  <c r="K5"/>
  <c r="M5"/>
  <c r="J6"/>
  <c r="AA6" i="13"/>
  <c r="AP6" i="6"/>
  <c r="L6"/>
  <c r="K6"/>
  <c r="M6"/>
  <c r="J7"/>
  <c r="AA7" i="13"/>
  <c r="AP7" i="6"/>
  <c r="L7"/>
  <c r="K7"/>
  <c r="M7"/>
  <c r="J8"/>
  <c r="AA8" i="13"/>
  <c r="AP8" i="6"/>
  <c r="L8"/>
  <c r="K8"/>
  <c r="M8"/>
  <c r="J9"/>
  <c r="AA9" i="13"/>
  <c r="AP9" i="6"/>
  <c r="L9"/>
  <c r="K9"/>
  <c r="M9"/>
  <c r="J10"/>
  <c r="AA10" i="13"/>
  <c r="AP10" i="6"/>
  <c r="L10"/>
  <c r="K10"/>
  <c r="M10"/>
  <c r="J11"/>
  <c r="AA11" i="13"/>
  <c r="AP11" i="6"/>
  <c r="L11"/>
  <c r="K11"/>
  <c r="M11"/>
  <c r="J12"/>
  <c r="AA12" i="13"/>
  <c r="AP12" i="6"/>
  <c r="L12"/>
  <c r="K12"/>
  <c r="M12"/>
  <c r="J13"/>
  <c r="AA13" i="13"/>
  <c r="AP13" i="6"/>
  <c r="L13"/>
  <c r="K13"/>
  <c r="M13"/>
  <c r="J14"/>
  <c r="AA14" i="13"/>
  <c r="AP14" i="6"/>
  <c r="L14"/>
  <c r="K14"/>
  <c r="M14"/>
  <c r="J15"/>
  <c r="AA15" i="13"/>
  <c r="AP15" i="6"/>
  <c r="L15"/>
  <c r="K15"/>
  <c r="M15"/>
  <c r="J16"/>
  <c r="AA16" i="13"/>
  <c r="AP16" i="6"/>
  <c r="L16"/>
  <c r="K16"/>
  <c r="M16"/>
  <c r="J17"/>
  <c r="AA17" i="13"/>
  <c r="AP17" i="6"/>
  <c r="L17"/>
  <c r="K17"/>
  <c r="M17"/>
  <c r="J18"/>
  <c r="AA18" i="13"/>
  <c r="AP18" i="6"/>
  <c r="L18"/>
  <c r="K18"/>
  <c r="M18"/>
  <c r="J19"/>
  <c r="AA19" i="13"/>
  <c r="AP19" i="6"/>
  <c r="L19"/>
  <c r="K19"/>
  <c r="M19"/>
  <c r="J20"/>
  <c r="AA20" i="13"/>
  <c r="AP20" i="6"/>
  <c r="L20"/>
  <c r="K20"/>
  <c r="M20"/>
  <c r="J21"/>
  <c r="AA21" i="13"/>
  <c r="AP21" i="6"/>
  <c r="L21"/>
  <c r="K21"/>
  <c r="M21"/>
  <c r="J22"/>
  <c r="AA22" i="13"/>
  <c r="AP22" i="6"/>
  <c r="L22"/>
  <c r="K22"/>
  <c r="M22"/>
  <c r="J23"/>
  <c r="AA23" i="13"/>
  <c r="AP23" i="6"/>
  <c r="L23"/>
  <c r="K23"/>
  <c r="M23"/>
  <c r="J24"/>
  <c r="AA24" i="13"/>
  <c r="AP24" i="6"/>
  <c r="L24"/>
  <c r="K24"/>
  <c r="M24"/>
  <c r="J25"/>
  <c r="AA25" i="13"/>
  <c r="AP25" i="6"/>
  <c r="L25"/>
  <c r="K25"/>
  <c r="M25"/>
  <c r="J26"/>
  <c r="AA26" i="13"/>
  <c r="AP26" i="6"/>
  <c r="L26"/>
  <c r="K26"/>
  <c r="M26"/>
  <c r="J27"/>
  <c r="AA27" i="13"/>
  <c r="AP27" i="6"/>
  <c r="L27"/>
  <c r="K27"/>
  <c r="M27"/>
  <c r="J28"/>
  <c r="AA28" i="13"/>
  <c r="AP28" i="6"/>
  <c r="L28"/>
  <c r="K28"/>
  <c r="M28"/>
  <c r="J29"/>
  <c r="AA29" i="13"/>
  <c r="AP29" i="6"/>
  <c r="L29"/>
  <c r="K29"/>
  <c r="M29"/>
  <c r="J30"/>
  <c r="AA30" i="13"/>
  <c r="AP30" i="6"/>
  <c r="L30"/>
  <c r="K30"/>
  <c r="M30"/>
  <c r="J31"/>
  <c r="AA31" i="13"/>
  <c r="AP31" i="6"/>
  <c r="L31"/>
  <c r="K31"/>
  <c r="M31"/>
  <c r="J32"/>
  <c r="AA32" i="13"/>
  <c r="AP32" i="6"/>
  <c r="L32"/>
  <c r="K32"/>
  <c r="M32"/>
  <c r="J33"/>
  <c r="AA33" i="13"/>
  <c r="AP33" i="6"/>
  <c r="L33"/>
  <c r="K33"/>
  <c r="M33"/>
  <c r="J34"/>
  <c r="AA34" i="13"/>
  <c r="AP34" i="6"/>
  <c r="L34"/>
  <c r="K34"/>
  <c r="M34"/>
  <c r="J35"/>
  <c r="AA35" i="13"/>
  <c r="AP35" i="6"/>
  <c r="L35"/>
  <c r="K35"/>
  <c r="M35"/>
  <c r="J36"/>
  <c r="AA36" i="13"/>
  <c r="AP36" i="6"/>
  <c r="L36"/>
  <c r="K36"/>
  <c r="M36"/>
  <c r="J37"/>
  <c r="AA37" i="13"/>
  <c r="AP37" i="6"/>
  <c r="L37"/>
  <c r="K37"/>
  <c r="M37"/>
  <c r="J38"/>
  <c r="AA38" i="13"/>
  <c r="AP38" i="6"/>
  <c r="L38"/>
  <c r="K38"/>
  <c r="M38"/>
  <c r="J39"/>
  <c r="AA39" i="13"/>
  <c r="AP39" i="6"/>
  <c r="L39"/>
  <c r="K39"/>
  <c r="M39"/>
  <c r="J40"/>
  <c r="AA40" i="13"/>
  <c r="AP40" i="6"/>
  <c r="L40"/>
  <c r="K40"/>
  <c r="M40"/>
  <c r="J41"/>
  <c r="AA41" i="13"/>
  <c r="AP41" i="6"/>
  <c r="L41"/>
  <c r="K41"/>
  <c r="M41"/>
  <c r="J42"/>
  <c r="AA42" i="13"/>
  <c r="AP42" i="6"/>
  <c r="L42"/>
  <c r="K42"/>
  <c r="M42"/>
  <c r="J43"/>
  <c r="AA43" i="13"/>
  <c r="AP43" i="6"/>
  <c r="L43"/>
  <c r="K43"/>
  <c r="M43"/>
  <c r="J44"/>
  <c r="AA44" i="13"/>
  <c r="AP44" i="6"/>
  <c r="L44"/>
  <c r="K44"/>
  <c r="M44"/>
  <c r="J45"/>
  <c r="AA45" i="13"/>
  <c r="AP45" i="6"/>
  <c r="L45"/>
  <c r="K45"/>
  <c r="M45"/>
  <c r="J46"/>
  <c r="AA46" i="13"/>
  <c r="AP46" i="6"/>
  <c r="L46"/>
  <c r="K46"/>
  <c r="M46"/>
  <c r="J47"/>
  <c r="AA47" i="13"/>
  <c r="AP47" i="6"/>
  <c r="L47"/>
  <c r="K47"/>
  <c r="M47"/>
  <c r="J48"/>
  <c r="AA48" i="13"/>
  <c r="AP48" i="6"/>
  <c r="L48"/>
  <c r="K48"/>
  <c r="M48"/>
  <c r="J49"/>
  <c r="AA49" i="13"/>
  <c r="AP49" i="6"/>
  <c r="L49"/>
  <c r="K49"/>
  <c r="M49"/>
  <c r="J50"/>
  <c r="AA50" i="13"/>
  <c r="AP50" i="6"/>
  <c r="L50"/>
  <c r="K50"/>
  <c r="M50"/>
  <c r="J51"/>
  <c r="AA51" i="13"/>
  <c r="AP51" i="6"/>
  <c r="L51"/>
  <c r="K51"/>
  <c r="M51"/>
  <c r="J52"/>
  <c r="AA52" i="13"/>
  <c r="AP52" i="6"/>
  <c r="L52"/>
  <c r="L53"/>
  <c r="C26" i="13"/>
  <c r="Q3" i="6"/>
  <c r="Y3" i="13"/>
  <c r="R3" i="6"/>
  <c r="T3"/>
  <c r="S4"/>
  <c r="Q4"/>
  <c r="Y4" i="13"/>
  <c r="V3"/>
  <c r="V4"/>
  <c r="R4" i="6"/>
  <c r="T4"/>
  <c r="S5"/>
  <c r="Q5"/>
  <c r="Y5" i="13"/>
  <c r="V5"/>
  <c r="R5" i="6"/>
  <c r="T5"/>
  <c r="S6"/>
  <c r="Q6"/>
  <c r="Y6" i="13"/>
  <c r="V6"/>
  <c r="R6" i="6"/>
  <c r="T6"/>
  <c r="S7"/>
  <c r="Q7"/>
  <c r="Y7" i="13"/>
  <c r="V7"/>
  <c r="R7" i="6"/>
  <c r="T7"/>
  <c r="S8"/>
  <c r="Q8"/>
  <c r="Y8" i="13"/>
  <c r="V8"/>
  <c r="R8" i="6"/>
  <c r="T8"/>
  <c r="S9"/>
  <c r="Q9"/>
  <c r="Y9" i="13"/>
  <c r="V9"/>
  <c r="R9" i="6"/>
  <c r="T9"/>
  <c r="S10"/>
  <c r="Q10"/>
  <c r="Y10" i="13"/>
  <c r="V10"/>
  <c r="R10" i="6"/>
  <c r="T10"/>
  <c r="S11"/>
  <c r="Q11"/>
  <c r="Y11" i="13"/>
  <c r="V11"/>
  <c r="R11" i="6"/>
  <c r="T11"/>
  <c r="S12"/>
  <c r="Q12"/>
  <c r="Y12" i="13"/>
  <c r="V12"/>
  <c r="R12" i="6"/>
  <c r="T12"/>
  <c r="S13"/>
  <c r="Q13"/>
  <c r="Y13" i="13"/>
  <c r="V13"/>
  <c r="R13" i="6"/>
  <c r="T13"/>
  <c r="S14"/>
  <c r="Q14"/>
  <c r="Y14" i="13"/>
  <c r="V14"/>
  <c r="R14" i="6"/>
  <c r="T14"/>
  <c r="S15"/>
  <c r="Q15"/>
  <c r="Y15" i="13"/>
  <c r="V15"/>
  <c r="R15" i="6"/>
  <c r="T15"/>
  <c r="S16"/>
  <c r="Q16"/>
  <c r="Y16" i="13"/>
  <c r="V16"/>
  <c r="R16" i="6"/>
  <c r="T16"/>
  <c r="S17"/>
  <c r="Q17"/>
  <c r="Y17" i="13"/>
  <c r="V17"/>
  <c r="R17" i="6"/>
  <c r="T17"/>
  <c r="S18"/>
  <c r="Q18"/>
  <c r="Y18" i="13"/>
  <c r="V18"/>
  <c r="R18" i="6"/>
  <c r="T18"/>
  <c r="S19"/>
  <c r="Q19"/>
  <c r="Y19" i="13"/>
  <c r="V19"/>
  <c r="R19" i="6"/>
  <c r="T19"/>
  <c r="S20"/>
  <c r="Q20"/>
  <c r="Y20" i="13"/>
  <c r="V20"/>
  <c r="R20" i="6"/>
  <c r="T20"/>
  <c r="S21"/>
  <c r="Q21"/>
  <c r="Y21" i="13"/>
  <c r="V21"/>
  <c r="R21" i="6"/>
  <c r="T21"/>
  <c r="S22"/>
  <c r="Q22"/>
  <c r="Y22" i="13"/>
  <c r="V22"/>
  <c r="R22" i="6"/>
  <c r="T22"/>
  <c r="S23"/>
  <c r="Q23"/>
  <c r="Y23" i="13"/>
  <c r="V23"/>
  <c r="R23" i="6"/>
  <c r="T23"/>
  <c r="S24"/>
  <c r="Q24"/>
  <c r="Y24" i="13"/>
  <c r="V24"/>
  <c r="R24" i="6"/>
  <c r="T24"/>
  <c r="S25"/>
  <c r="Q25"/>
  <c r="Y25" i="13"/>
  <c r="V25"/>
  <c r="R25" i="6"/>
  <c r="T25"/>
  <c r="S26"/>
  <c r="Q26"/>
  <c r="Y26" i="13"/>
  <c r="V26"/>
  <c r="R26" i="6"/>
  <c r="T26"/>
  <c r="S27"/>
  <c r="Q27"/>
  <c r="Y27" i="13"/>
  <c r="V27"/>
  <c r="R27" i="6"/>
  <c r="T27"/>
  <c r="S28"/>
  <c r="Q28"/>
  <c r="Y28" i="13"/>
  <c r="V28"/>
  <c r="R28" i="6"/>
  <c r="T28"/>
  <c r="S29"/>
  <c r="Q29"/>
  <c r="Y29" i="13"/>
  <c r="V29"/>
  <c r="R29" i="6"/>
  <c r="T29"/>
  <c r="S30"/>
  <c r="Q30"/>
  <c r="Y30" i="13"/>
  <c r="V30"/>
  <c r="R30" i="6"/>
  <c r="T30"/>
  <c r="S31"/>
  <c r="Q31"/>
  <c r="Y31" i="13"/>
  <c r="V31"/>
  <c r="R31" i="6"/>
  <c r="T31"/>
  <c r="S32"/>
  <c r="Q32"/>
  <c r="Y32" i="13"/>
  <c r="V32"/>
  <c r="R32" i="6"/>
  <c r="T32"/>
  <c r="S33"/>
  <c r="Q33"/>
  <c r="Y33" i="13"/>
  <c r="V33"/>
  <c r="R33" i="6"/>
  <c r="T33"/>
  <c r="S34"/>
  <c r="Q34"/>
  <c r="Y34" i="13"/>
  <c r="V34"/>
  <c r="R34" i="6"/>
  <c r="T34"/>
  <c r="S35"/>
  <c r="Q35"/>
  <c r="Y35" i="13"/>
  <c r="V35"/>
  <c r="R35" i="6"/>
  <c r="T35"/>
  <c r="S36"/>
  <c r="Q36"/>
  <c r="Y36" i="13"/>
  <c r="V36"/>
  <c r="R36" i="6"/>
  <c r="T36"/>
  <c r="S37"/>
  <c r="Q37"/>
  <c r="Y37" i="13"/>
  <c r="V37"/>
  <c r="R37" i="6"/>
  <c r="T37"/>
  <c r="S38"/>
  <c r="Q38"/>
  <c r="Y38" i="13"/>
  <c r="V38"/>
  <c r="R38" i="6"/>
  <c r="T38"/>
  <c r="S39"/>
  <c r="Q39"/>
  <c r="Y39" i="13"/>
  <c r="V39"/>
  <c r="R39" i="6"/>
  <c r="T39"/>
  <c r="S40"/>
  <c r="Q40"/>
  <c r="Y40" i="13"/>
  <c r="V40"/>
  <c r="R40" i="6"/>
  <c r="T40"/>
  <c r="S41"/>
  <c r="Q41"/>
  <c r="Y41" i="13"/>
  <c r="V41"/>
  <c r="R41" i="6"/>
  <c r="T41"/>
  <c r="S42"/>
  <c r="Q42"/>
  <c r="Y42" i="13"/>
  <c r="V42"/>
  <c r="R42" i="6"/>
  <c r="T42"/>
  <c r="S43"/>
  <c r="Q43"/>
  <c r="Y43" i="13"/>
  <c r="V43"/>
  <c r="R43" i="6"/>
  <c r="T43"/>
  <c r="S44"/>
  <c r="Q44"/>
  <c r="Y44" i="13"/>
  <c r="V44"/>
  <c r="R44" i="6"/>
  <c r="T44"/>
  <c r="S45"/>
  <c r="Q45"/>
  <c r="Y45" i="13"/>
  <c r="V45"/>
  <c r="R45" i="6"/>
  <c r="T45"/>
  <c r="S46"/>
  <c r="Q46"/>
  <c r="Y46" i="13"/>
  <c r="V46"/>
  <c r="R46" i="6"/>
  <c r="T46"/>
  <c r="S47"/>
  <c r="Q47"/>
  <c r="Y47" i="13"/>
  <c r="V47"/>
  <c r="R47" i="6"/>
  <c r="T47"/>
  <c r="S48"/>
  <c r="Q48"/>
  <c r="Y48" i="13"/>
  <c r="V48"/>
  <c r="R48" i="6"/>
  <c r="T48"/>
  <c r="S49"/>
  <c r="Q49"/>
  <c r="Y49" i="13"/>
  <c r="V49"/>
  <c r="R49" i="6"/>
  <c r="T49"/>
  <c r="S50"/>
  <c r="Q50"/>
  <c r="Y50" i="13"/>
  <c r="V50"/>
  <c r="R50" i="6"/>
  <c r="T50"/>
  <c r="S51"/>
  <c r="Q51"/>
  <c r="Y51" i="13"/>
  <c r="V51"/>
  <c r="R51" i="6"/>
  <c r="T51"/>
  <c r="S52"/>
  <c r="B22"/>
  <c r="C25" i="13"/>
  <c r="K52" i="6"/>
  <c r="M52"/>
  <c r="J53"/>
  <c r="B21"/>
  <c r="C24" i="13"/>
  <c r="AB2"/>
  <c r="AA2"/>
  <c r="Z2"/>
  <c r="Y2"/>
  <c r="X2"/>
  <c r="W2"/>
  <c r="V2"/>
  <c r="U2"/>
  <c r="T2"/>
  <c r="S2"/>
  <c r="R2"/>
  <c r="C28"/>
  <c r="Y52"/>
  <c r="T43"/>
  <c r="T44"/>
  <c r="T45"/>
  <c r="T46"/>
  <c r="T47"/>
  <c r="T3"/>
  <c r="T4"/>
  <c r="T5"/>
  <c r="T6"/>
  <c r="T7"/>
  <c r="T8"/>
  <c r="T9"/>
  <c r="T10"/>
  <c r="T11"/>
  <c r="T12"/>
  <c r="T13"/>
  <c r="T14"/>
  <c r="T15"/>
  <c r="T16"/>
  <c r="T17"/>
  <c r="T18"/>
  <c r="T19"/>
  <c r="T20"/>
  <c r="T21"/>
  <c r="T22"/>
  <c r="T23"/>
  <c r="T24"/>
  <c r="T25"/>
  <c r="T26"/>
  <c r="T27"/>
  <c r="T28"/>
  <c r="T29"/>
  <c r="T30"/>
  <c r="T31"/>
  <c r="T32"/>
  <c r="T33"/>
  <c r="T34"/>
  <c r="T35"/>
  <c r="T36"/>
  <c r="T37"/>
  <c r="T38"/>
  <c r="T39"/>
  <c r="T40"/>
  <c r="T41"/>
  <c r="T42"/>
  <c r="T48"/>
  <c r="T49"/>
  <c r="T50"/>
  <c r="T51"/>
  <c r="Q53" i="6"/>
  <c r="I5" i="14"/>
  <c r="I4"/>
  <c r="C4" i="6"/>
  <c r="A4" i="14"/>
  <c r="C4"/>
  <c r="R3" i="13"/>
  <c r="R4"/>
  <c r="S3"/>
  <c r="S4"/>
  <c r="U3"/>
  <c r="U4"/>
  <c r="W3"/>
  <c r="W4"/>
  <c r="I4" i="6"/>
  <c r="B4" i="14"/>
  <c r="D4"/>
  <c r="E4"/>
  <c r="I3"/>
  <c r="G4"/>
  <c r="F4"/>
  <c r="C5" i="6"/>
  <c r="A5" i="14"/>
  <c r="C5"/>
  <c r="R5" i="13"/>
  <c r="S5"/>
  <c r="U5"/>
  <c r="W5"/>
  <c r="I5" i="6"/>
  <c r="B5" i="14"/>
  <c r="D5"/>
  <c r="E5"/>
  <c r="G5"/>
  <c r="F5"/>
  <c r="C6" i="6"/>
  <c r="A6" i="14"/>
  <c r="C6"/>
  <c r="R6" i="13"/>
  <c r="S6"/>
  <c r="U6"/>
  <c r="W6"/>
  <c r="I6" i="6"/>
  <c r="B6" i="14"/>
  <c r="D6"/>
  <c r="E6"/>
  <c r="G6"/>
  <c r="F6"/>
  <c r="C7" i="6"/>
  <c r="A7" i="14"/>
  <c r="C7"/>
  <c r="R7" i="13"/>
  <c r="S7"/>
  <c r="U7"/>
  <c r="W7"/>
  <c r="I7" i="6"/>
  <c r="B7" i="14"/>
  <c r="D7"/>
  <c r="E7"/>
  <c r="G7"/>
  <c r="F7"/>
  <c r="C8" i="6"/>
  <c r="A8" i="14"/>
  <c r="C8"/>
  <c r="R8" i="13"/>
  <c r="S8"/>
  <c r="U8"/>
  <c r="W8"/>
  <c r="I8" i="6"/>
  <c r="B8" i="14"/>
  <c r="D8"/>
  <c r="E8"/>
  <c r="G8"/>
  <c r="F8"/>
  <c r="C9" i="6"/>
  <c r="A9" i="14"/>
  <c r="C9"/>
  <c r="R9" i="13"/>
  <c r="S9"/>
  <c r="U9"/>
  <c r="W9"/>
  <c r="I9" i="6"/>
  <c r="B9" i="14"/>
  <c r="D9"/>
  <c r="E9"/>
  <c r="G9"/>
  <c r="F9"/>
  <c r="C10" i="6"/>
  <c r="A10" i="14"/>
  <c r="C10"/>
  <c r="R10" i="13"/>
  <c r="S10"/>
  <c r="U10"/>
  <c r="W10"/>
  <c r="I10" i="6"/>
  <c r="B10" i="14"/>
  <c r="D10"/>
  <c r="E10"/>
  <c r="G10"/>
  <c r="F10"/>
  <c r="C11" i="6"/>
  <c r="A11" i="14"/>
  <c r="C11"/>
  <c r="R11" i="13"/>
  <c r="S11"/>
  <c r="U11"/>
  <c r="W11"/>
  <c r="I11" i="6"/>
  <c r="B11" i="14"/>
  <c r="D11"/>
  <c r="E11"/>
  <c r="G11"/>
  <c r="F11"/>
  <c r="C12" i="6"/>
  <c r="A12" i="14"/>
  <c r="C12"/>
  <c r="R12" i="13"/>
  <c r="S12"/>
  <c r="U12"/>
  <c r="W12"/>
  <c r="I12" i="6"/>
  <c r="B12" i="14"/>
  <c r="D12"/>
  <c r="E12"/>
  <c r="G12"/>
  <c r="F12"/>
  <c r="C13" i="6"/>
  <c r="A13" i="14"/>
  <c r="C13"/>
  <c r="R13" i="13"/>
  <c r="S13"/>
  <c r="U13"/>
  <c r="W13"/>
  <c r="I13" i="6"/>
  <c r="B13" i="14"/>
  <c r="D13"/>
  <c r="E13"/>
  <c r="G13"/>
  <c r="F13"/>
  <c r="C14" i="6"/>
  <c r="A14" i="14"/>
  <c r="C14"/>
  <c r="R14" i="13"/>
  <c r="S14"/>
  <c r="U14"/>
  <c r="W14"/>
  <c r="I14" i="6"/>
  <c r="B14" i="14"/>
  <c r="D14"/>
  <c r="E14"/>
  <c r="G14"/>
  <c r="F14"/>
  <c r="C15" i="6"/>
  <c r="A15" i="14"/>
  <c r="C15"/>
  <c r="R15" i="13"/>
  <c r="S15"/>
  <c r="U15"/>
  <c r="W15"/>
  <c r="I15" i="6"/>
  <c r="B15" i="14"/>
  <c r="D15"/>
  <c r="E15"/>
  <c r="G15"/>
  <c r="F15"/>
  <c r="C16" i="6"/>
  <c r="A16" i="14"/>
  <c r="C16"/>
  <c r="R16" i="13"/>
  <c r="S16"/>
  <c r="U16"/>
  <c r="W16"/>
  <c r="I16" i="6"/>
  <c r="B16" i="14"/>
  <c r="D16"/>
  <c r="E16"/>
  <c r="G16"/>
  <c r="F16"/>
  <c r="C17" i="6"/>
  <c r="A17" i="14"/>
  <c r="C17"/>
  <c r="R17" i="13"/>
  <c r="S17"/>
  <c r="U17"/>
  <c r="W17"/>
  <c r="I17" i="6"/>
  <c r="B17" i="14"/>
  <c r="D17"/>
  <c r="E17"/>
  <c r="G17"/>
  <c r="F17"/>
  <c r="C18" i="6"/>
  <c r="A18" i="14"/>
  <c r="C18"/>
  <c r="R18" i="13"/>
  <c r="S18"/>
  <c r="U18"/>
  <c r="W18"/>
  <c r="I18" i="6"/>
  <c r="B18" i="14"/>
  <c r="D18"/>
  <c r="E18"/>
  <c r="G18"/>
  <c r="F18"/>
  <c r="C19" i="6"/>
  <c r="A19" i="14"/>
  <c r="C19"/>
  <c r="R19" i="13"/>
  <c r="S19"/>
  <c r="U19"/>
  <c r="W19"/>
  <c r="I19" i="6"/>
  <c r="B19" i="14"/>
  <c r="D19"/>
  <c r="E19"/>
  <c r="G19"/>
  <c r="F19"/>
  <c r="C20" i="6"/>
  <c r="A20" i="14"/>
  <c r="C20"/>
  <c r="R20" i="13"/>
  <c r="S20"/>
  <c r="U20"/>
  <c r="W20"/>
  <c r="I20" i="6"/>
  <c r="B20" i="14"/>
  <c r="D20"/>
  <c r="E20"/>
  <c r="G20"/>
  <c r="F20"/>
  <c r="C21" i="6"/>
  <c r="A21" i="14"/>
  <c r="C21"/>
  <c r="R21" i="13"/>
  <c r="S21"/>
  <c r="U21"/>
  <c r="W21"/>
  <c r="I21" i="6"/>
  <c r="B21" i="14"/>
  <c r="D21"/>
  <c r="E21"/>
  <c r="G21"/>
  <c r="F21"/>
  <c r="C22" i="6"/>
  <c r="A22" i="14"/>
  <c r="C22"/>
  <c r="R22" i="13"/>
  <c r="S22"/>
  <c r="U22"/>
  <c r="W22"/>
  <c r="I22" i="6"/>
  <c r="B22" i="14"/>
  <c r="D22"/>
  <c r="E22"/>
  <c r="G22"/>
  <c r="F22"/>
  <c r="C23" i="6"/>
  <c r="A23" i="14"/>
  <c r="C23"/>
  <c r="R23" i="13"/>
  <c r="S23"/>
  <c r="U23"/>
  <c r="W23"/>
  <c r="I23" i="6"/>
  <c r="B23" i="14"/>
  <c r="D23"/>
  <c r="E23"/>
  <c r="G23"/>
  <c r="F23"/>
  <c r="C24" i="6"/>
  <c r="A24" i="14"/>
  <c r="C24"/>
  <c r="R24" i="13"/>
  <c r="S24"/>
  <c r="U24"/>
  <c r="W24"/>
  <c r="I24" i="6"/>
  <c r="B24" i="14"/>
  <c r="D24"/>
  <c r="E24"/>
  <c r="G24"/>
  <c r="F24"/>
  <c r="C25" i="6"/>
  <c r="A25" i="14"/>
  <c r="C25"/>
  <c r="R25" i="13"/>
  <c r="S25"/>
  <c r="U25"/>
  <c r="W25"/>
  <c r="I25" i="6"/>
  <c r="B25" i="14"/>
  <c r="D25"/>
  <c r="E25"/>
  <c r="G25"/>
  <c r="F25"/>
  <c r="C26" i="6"/>
  <c r="A26" i="14"/>
  <c r="C26"/>
  <c r="R26" i="13"/>
  <c r="S26"/>
  <c r="U26"/>
  <c r="W26"/>
  <c r="I26" i="6"/>
  <c r="B26" i="14"/>
  <c r="D26"/>
  <c r="E26"/>
  <c r="G26"/>
  <c r="F26"/>
  <c r="C27" i="6"/>
  <c r="A27" i="14"/>
  <c r="C27"/>
  <c r="R27" i="13"/>
  <c r="S27"/>
  <c r="U27"/>
  <c r="W27"/>
  <c r="I27" i="6"/>
  <c r="B27" i="14"/>
  <c r="D27"/>
  <c r="E27"/>
  <c r="G27"/>
  <c r="F27"/>
  <c r="C28" i="6"/>
  <c r="A28" i="14"/>
  <c r="C28"/>
  <c r="R28" i="13"/>
  <c r="S28"/>
  <c r="U28"/>
  <c r="W28"/>
  <c r="I28" i="6"/>
  <c r="B28" i="14"/>
  <c r="D28"/>
  <c r="E28"/>
  <c r="G28"/>
  <c r="F28"/>
  <c r="C29" i="6"/>
  <c r="A29" i="14"/>
  <c r="C29"/>
  <c r="R29" i="13"/>
  <c r="S29"/>
  <c r="U29"/>
  <c r="W29"/>
  <c r="I29" i="6"/>
  <c r="B29" i="14"/>
  <c r="D29"/>
  <c r="E29"/>
  <c r="G29"/>
  <c r="F29"/>
  <c r="C30" i="6"/>
  <c r="A30" i="14"/>
  <c r="C30"/>
  <c r="R30" i="13"/>
  <c r="S30"/>
  <c r="U30"/>
  <c r="W30"/>
  <c r="I30" i="6"/>
  <c r="B30" i="14"/>
  <c r="D30"/>
  <c r="E30"/>
  <c r="G30"/>
  <c r="F30"/>
  <c r="C31" i="6"/>
  <c r="A31" i="14"/>
  <c r="C31"/>
  <c r="R31" i="13"/>
  <c r="S31"/>
  <c r="U31"/>
  <c r="W31"/>
  <c r="I31" i="6"/>
  <c r="B31" i="14"/>
  <c r="D31"/>
  <c r="E31"/>
  <c r="G31"/>
  <c r="F31"/>
  <c r="C32" i="6"/>
  <c r="A32" i="14"/>
  <c r="C32"/>
  <c r="R32" i="13"/>
  <c r="S32"/>
  <c r="U32"/>
  <c r="W32"/>
  <c r="I32" i="6"/>
  <c r="B32" i="14"/>
  <c r="D32"/>
  <c r="E32"/>
  <c r="G32"/>
  <c r="F32"/>
  <c r="C33" i="6"/>
  <c r="A33" i="14"/>
  <c r="C33"/>
  <c r="R33" i="13"/>
  <c r="S33"/>
  <c r="U33"/>
  <c r="W33"/>
  <c r="I33" i="6"/>
  <c r="B33" i="14"/>
  <c r="D33"/>
  <c r="E33"/>
  <c r="G33"/>
  <c r="F33"/>
  <c r="C34" i="6"/>
  <c r="A34" i="14"/>
  <c r="C34"/>
  <c r="R34" i="13"/>
  <c r="S34"/>
  <c r="U34"/>
  <c r="W34"/>
  <c r="I34" i="6"/>
  <c r="B34" i="14"/>
  <c r="D34"/>
  <c r="E34"/>
  <c r="G34"/>
  <c r="F34"/>
  <c r="C35" i="6"/>
  <c r="A35" i="14"/>
  <c r="C35"/>
  <c r="R35" i="13"/>
  <c r="S35"/>
  <c r="U35"/>
  <c r="W35"/>
  <c r="I35" i="6"/>
  <c r="B35" i="14"/>
  <c r="D35"/>
  <c r="E35"/>
  <c r="G35"/>
  <c r="F35"/>
  <c r="C36" i="6"/>
  <c r="A36" i="14"/>
  <c r="C36"/>
  <c r="R36" i="13"/>
  <c r="S36"/>
  <c r="U36"/>
  <c r="W36"/>
  <c r="I36" i="6"/>
  <c r="B36" i="14"/>
  <c r="D36"/>
  <c r="E36"/>
  <c r="G36"/>
  <c r="F36"/>
  <c r="C37" i="6"/>
  <c r="A37" i="14"/>
  <c r="C37"/>
  <c r="R37" i="13"/>
  <c r="S37"/>
  <c r="U37"/>
  <c r="W37"/>
  <c r="I37" i="6"/>
  <c r="B37" i="14"/>
  <c r="D37"/>
  <c r="E37"/>
  <c r="G37"/>
  <c r="F37"/>
  <c r="C38" i="6"/>
  <c r="A38" i="14"/>
  <c r="C38"/>
  <c r="R38" i="13"/>
  <c r="S38"/>
  <c r="U38"/>
  <c r="W38"/>
  <c r="I38" i="6"/>
  <c r="B38" i="14"/>
  <c r="D38"/>
  <c r="E38"/>
  <c r="G38"/>
  <c r="F38"/>
  <c r="C39" i="6"/>
  <c r="A39" i="14"/>
  <c r="C39"/>
  <c r="R39" i="13"/>
  <c r="S39"/>
  <c r="U39"/>
  <c r="W39"/>
  <c r="I39" i="6"/>
  <c r="B39" i="14"/>
  <c r="D39"/>
  <c r="E39"/>
  <c r="G39"/>
  <c r="F39"/>
  <c r="C40" i="6"/>
  <c r="A40" i="14"/>
  <c r="C40"/>
  <c r="R40" i="13"/>
  <c r="S40"/>
  <c r="U40"/>
  <c r="W40"/>
  <c r="I40" i="6"/>
  <c r="B40" i="14"/>
  <c r="D40"/>
  <c r="E40"/>
  <c r="G40"/>
  <c r="F40"/>
  <c r="C41" i="6"/>
  <c r="A41" i="14"/>
  <c r="C41"/>
  <c r="R41" i="13"/>
  <c r="S41"/>
  <c r="U41"/>
  <c r="W41"/>
  <c r="I41" i="6"/>
  <c r="B41" i="14"/>
  <c r="D41"/>
  <c r="E41"/>
  <c r="G41"/>
  <c r="F41"/>
  <c r="C42" i="6"/>
  <c r="A42" i="14"/>
  <c r="C42"/>
  <c r="R42" i="13"/>
  <c r="S42"/>
  <c r="U42"/>
  <c r="W42"/>
  <c r="I42" i="6"/>
  <c r="B42" i="14"/>
  <c r="D42"/>
  <c r="E42"/>
  <c r="G42"/>
  <c r="F42"/>
  <c r="C43" i="6"/>
  <c r="A43" i="14"/>
  <c r="C43"/>
  <c r="R43" i="13"/>
  <c r="S43"/>
  <c r="U43"/>
  <c r="W43"/>
  <c r="I43" i="6"/>
  <c r="B43" i="14"/>
  <c r="D43"/>
  <c r="E43"/>
  <c r="G43"/>
  <c r="F43"/>
  <c r="C44" i="6"/>
  <c r="A44" i="14"/>
  <c r="C44"/>
  <c r="R44" i="13"/>
  <c r="S44"/>
  <c r="U44"/>
  <c r="W44"/>
  <c r="I44" i="6"/>
  <c r="B44" i="14"/>
  <c r="D44"/>
  <c r="E44"/>
  <c r="G44"/>
  <c r="F44"/>
  <c r="C45" i="6"/>
  <c r="A45" i="14"/>
  <c r="C45"/>
  <c r="R45" i="13"/>
  <c r="S45"/>
  <c r="U45"/>
  <c r="W45"/>
  <c r="I45" i="6"/>
  <c r="B45" i="14"/>
  <c r="D45"/>
  <c r="E45"/>
  <c r="G45"/>
  <c r="F45"/>
  <c r="C46" i="6"/>
  <c r="A46" i="14"/>
  <c r="C46"/>
  <c r="R46" i="13"/>
  <c r="S46"/>
  <c r="U46"/>
  <c r="W46"/>
  <c r="I46" i="6"/>
  <c r="B46" i="14"/>
  <c r="D46"/>
  <c r="E46"/>
  <c r="G46"/>
  <c r="F46"/>
  <c r="C47" i="6"/>
  <c r="A47" i="14"/>
  <c r="C47"/>
  <c r="R47" i="13"/>
  <c r="S47"/>
  <c r="U47"/>
  <c r="W47"/>
  <c r="I47" i="6"/>
  <c r="B47" i="14"/>
  <c r="D47"/>
  <c r="E47"/>
  <c r="G47"/>
  <c r="F47"/>
  <c r="C48" i="6"/>
  <c r="A48" i="14"/>
  <c r="C48"/>
  <c r="R48" i="13"/>
  <c r="S48"/>
  <c r="U48"/>
  <c r="W48"/>
  <c r="I48" i="6"/>
  <c r="B48" i="14"/>
  <c r="D48"/>
  <c r="E48"/>
  <c r="G48"/>
  <c r="F48"/>
  <c r="C49" i="6"/>
  <c r="A49" i="14"/>
  <c r="C49"/>
  <c r="R49" i="13"/>
  <c r="S49"/>
  <c r="U49"/>
  <c r="W49"/>
  <c r="I49" i="6"/>
  <c r="B49" i="14"/>
  <c r="D49"/>
  <c r="E49"/>
  <c r="G49"/>
  <c r="F49"/>
  <c r="C50" i="6"/>
  <c r="A50" i="14"/>
  <c r="C50"/>
  <c r="R50" i="13"/>
  <c r="S50"/>
  <c r="U50"/>
  <c r="W50"/>
  <c r="I50" i="6"/>
  <c r="B50" i="14"/>
  <c r="D50"/>
  <c r="E50"/>
  <c r="G50"/>
  <c r="F50"/>
  <c r="C51" i="6"/>
  <c r="A51" i="14"/>
  <c r="C51"/>
  <c r="R51" i="13"/>
  <c r="S51"/>
  <c r="U51"/>
  <c r="W51"/>
  <c r="I51" i="6"/>
  <c r="B51" i="14"/>
  <c r="D51"/>
  <c r="E51"/>
  <c r="G51"/>
  <c r="F51"/>
  <c r="C52" i="6"/>
  <c r="A52" i="14"/>
  <c r="C52"/>
  <c r="R52" i="13"/>
  <c r="S52"/>
  <c r="T52"/>
  <c r="U52"/>
  <c r="W52"/>
  <c r="I52" i="6"/>
  <c r="B52" i="14"/>
  <c r="D52"/>
  <c r="E52"/>
  <c r="G52"/>
  <c r="F52"/>
  <c r="A3"/>
  <c r="C3"/>
  <c r="I3" i="6"/>
  <c r="B3" i="14"/>
  <c r="D3"/>
  <c r="E3"/>
  <c r="G3"/>
  <c r="F3"/>
  <c r="F53"/>
  <c r="C27" i="13"/>
  <c r="T52" i="6"/>
  <c r="V52" i="13"/>
  <c r="AG3" i="6"/>
  <c r="AH3"/>
  <c r="AI3"/>
  <c r="AJ3"/>
  <c r="AK3"/>
  <c r="AL3"/>
  <c r="AB3" i="13"/>
  <c r="AQ3" i="6"/>
  <c r="AB4" i="13"/>
  <c r="AB5"/>
  <c r="AB6"/>
  <c r="AB7"/>
  <c r="AB8"/>
  <c r="AB9"/>
  <c r="AB10"/>
  <c r="AB11"/>
  <c r="AB12"/>
  <c r="AB13"/>
  <c r="AB14"/>
  <c r="AB15"/>
  <c r="AB16"/>
  <c r="AB17"/>
  <c r="AB18"/>
  <c r="AB19"/>
  <c r="AB20"/>
  <c r="AB21"/>
  <c r="AB22"/>
  <c r="AB23"/>
  <c r="AB24"/>
  <c r="AB25"/>
  <c r="AB26"/>
  <c r="AB27"/>
  <c r="AB28"/>
  <c r="AB29"/>
  <c r="AB30"/>
  <c r="AB31"/>
  <c r="AB32"/>
  <c r="AB33"/>
  <c r="AB34"/>
  <c r="AB35"/>
  <c r="AB36"/>
  <c r="AB37"/>
  <c r="AB38"/>
  <c r="AB39"/>
  <c r="AB40"/>
  <c r="AB41"/>
  <c r="AB42"/>
  <c r="AB43"/>
  <c r="AB44"/>
  <c r="AB45"/>
  <c r="AB46"/>
  <c r="AB47"/>
  <c r="AB48"/>
  <c r="AB49"/>
  <c r="AB50"/>
  <c r="AB51"/>
  <c r="AB52"/>
  <c r="AQ2" i="6"/>
  <c r="AH2"/>
  <c r="AI2"/>
  <c r="AJ2"/>
  <c r="AK2"/>
  <c r="AL2"/>
  <c r="AM2"/>
  <c r="AN2"/>
  <c r="AO2"/>
  <c r="AP2"/>
  <c r="AG2"/>
  <c r="B17"/>
  <c r="Q52"/>
  <c r="R52"/>
  <c r="S53"/>
  <c r="H53"/>
  <c r="D34" i="12"/>
  <c r="D35"/>
  <c r="D36"/>
  <c r="D37"/>
  <c r="D38"/>
  <c r="D39"/>
  <c r="D40"/>
  <c r="D41"/>
  <c r="D42"/>
  <c r="D43"/>
  <c r="D44"/>
  <c r="D45"/>
  <c r="D46"/>
  <c r="D47"/>
  <c r="D48"/>
  <c r="D49"/>
  <c r="D50"/>
  <c r="D51"/>
  <c r="D52"/>
  <c r="D33"/>
  <c r="D24"/>
  <c r="D25"/>
  <c r="D26"/>
  <c r="D27"/>
  <c r="D28"/>
  <c r="D29"/>
  <c r="D30"/>
  <c r="D31"/>
  <c r="D32"/>
  <c r="D23"/>
  <c r="D14"/>
  <c r="D15"/>
  <c r="D16"/>
  <c r="D17"/>
  <c r="D18"/>
  <c r="D19"/>
  <c r="D20"/>
  <c r="D21"/>
  <c r="D22"/>
  <c r="D13"/>
  <c r="D9"/>
  <c r="D10"/>
  <c r="D11"/>
  <c r="D12"/>
  <c r="D8"/>
  <c r="D4"/>
  <c r="D5"/>
  <c r="D6"/>
  <c r="D7"/>
  <c r="D3"/>
  <c r="D53"/>
  <c r="E53"/>
  <c r="C53"/>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alcChain>
</file>

<file path=xl/sharedStrings.xml><?xml version="1.0" encoding="utf-8"?>
<sst xmlns="http://schemas.openxmlformats.org/spreadsheetml/2006/main" count="110" uniqueCount="91">
  <si>
    <t>Year</t>
  </si>
  <si>
    <t>Total Parking Revenues</t>
  </si>
  <si>
    <t>Contract increases (yr 1-10)</t>
  </si>
  <si>
    <t>Contract increases (yr 11-50)</t>
  </si>
  <si>
    <t>Amount loaned to OSU</t>
  </si>
  <si>
    <t>Value</t>
  </si>
  <si>
    <t>Output</t>
  </si>
  <si>
    <t>Input</t>
  </si>
  <si>
    <t>Portion of above increased by contract terms (est)</t>
  </si>
  <si>
    <t>Inflation (assumed always ≤ 4%/yr)</t>
  </si>
  <si>
    <t>Operator Side</t>
  </si>
  <si>
    <t>Total initial parking revenues (est)</t>
  </si>
  <si>
    <t>Total initial parking expenses (est)</t>
  </si>
  <si>
    <t>OSU draw rate from endowment</t>
  </si>
  <si>
    <t>Endowment portfolio return</t>
  </si>
  <si>
    <t>Discount rate for NPV analysis</t>
  </si>
  <si>
    <t>CapEx inferred from 2011-12-06  MS CAGR estimate</t>
  </si>
  <si>
    <t>CapEx from 2012-01-11 e-mail schedule</t>
  </si>
  <si>
    <t>CapEx from 2012-05-04 e-mail schedule</t>
  </si>
  <si>
    <t>OSU side without external operator</t>
  </si>
  <si>
    <t>Total Parking Operation and Capital Expenditures</t>
  </si>
  <si>
    <t>Yr 50 endowment with external operator</t>
  </si>
  <si>
    <t>Yr 50 endowment with internal operations</t>
  </si>
  <si>
    <r>
      <rPr>
        <b/>
        <sz val="8"/>
        <color rgb="FF000000"/>
        <rFont val="Times"/>
      </rPr>
      <t>"CapEx Backup"</t>
    </r>
    <r>
      <rPr>
        <sz val="8"/>
        <color rgb="FF000000"/>
        <rFont val="Times"/>
      </rPr>
      <t xml:space="preserve">: This worksheet provides three schedules for capital expenditures, based on three different sources.  All figures are in 2011 or 2012 dollars.  The first set of estimates was inferred from the Morgan Stanley financial analysis summary presented to the Parking Advisory Committee and Senate Fiscal Committee in December 2011; it is based on 50th-year figure and a 3.8% CAGR figure (including 3.3% inflation) that were mentioned in their report.  The second set of estimates was provided in e-mail on January 11, 2012, from Mike Papadakis.  The third set of estimates was provided in e-mail on May 4, 2012, from Mike Papadakis. </t>
    </r>
  </si>
  <si>
    <t>OSU Endowment with external operator</t>
  </si>
  <si>
    <t>Payment by external operator</t>
  </si>
  <si>
    <t>DO NOT CHANGE</t>
  </si>
  <si>
    <t>2012-17</t>
  </si>
  <si>
    <t>2017-22</t>
  </si>
  <si>
    <t>2022-27</t>
  </si>
  <si>
    <t>2027-32</t>
  </si>
  <si>
    <t>2032-37</t>
  </si>
  <si>
    <t>2037-42</t>
  </si>
  <si>
    <t>2042-47</t>
  </si>
  <si>
    <t>2047-52</t>
  </si>
  <si>
    <t>2052-57</t>
  </si>
  <si>
    <t>2057-62</t>
  </si>
  <si>
    <t>Revenue generated by OSU as fraction of operator</t>
  </si>
  <si>
    <t>Operating costs by OSU as fraction of operator costs</t>
  </si>
  <si>
    <t>Rate of increase in parking operation costs by operator</t>
  </si>
  <si>
    <t xml:space="preserve"> This worksheet compares the estimated annual cash flows by an operator and OSU's investment of the lease payment into the LTIP with continued OSU operation with free cash flows being invested in LTIP</t>
  </si>
  <si>
    <t>Parameters</t>
  </si>
  <si>
    <t>Annual Permit Parking Revenue</t>
  </si>
  <si>
    <t>Parking Operations Expenses</t>
  </si>
  <si>
    <t>Operator Parking Capital Expenditures (see CapEx Backup worksheet)</t>
  </si>
  <si>
    <t>Operator's Parking Operations Gross Profit</t>
  </si>
  <si>
    <t>Assumed Operator Discount rate for NPV analysis</t>
  </si>
  <si>
    <t>Estimated Depreciation</t>
  </si>
  <si>
    <t>Depreciable basis</t>
  </si>
  <si>
    <t>Discount factor</t>
  </si>
  <si>
    <t>discount rate</t>
  </si>
  <si>
    <t>NPV for operator</t>
  </si>
  <si>
    <t>Operator depreciable basis</t>
  </si>
  <si>
    <t>Estimated life</t>
  </si>
  <si>
    <t>Tax</t>
  </si>
  <si>
    <t>After-Tax Cash Flow</t>
  </si>
  <si>
    <t>Depreciable life</t>
  </si>
  <si>
    <t>invariant</t>
  </si>
  <si>
    <t>OSU Parking Lease Financial Analysis</t>
  </si>
  <si>
    <t>Other Parking Revenue</t>
  </si>
  <si>
    <t>Total initial revenue from parking operations</t>
  </si>
  <si>
    <t>Total initial operating expenses from parking operations</t>
  </si>
  <si>
    <t>CapEx costs by OSU as fraction of operator costs</t>
  </si>
  <si>
    <t>Initial permit parking revenue (if annual permits are separated)</t>
  </si>
  <si>
    <t>Parking permit price increase (if annual permits are separated)</t>
  </si>
  <si>
    <t>Parking permit volume increase (if annual permits are separated)</t>
  </si>
  <si>
    <t>Parking price increase (excluding annual permits if separated)</t>
  </si>
  <si>
    <t>Parking volume increase (excluding annual permits if separated)</t>
  </si>
  <si>
    <t>Return on long-term investment portfolio</t>
  </si>
  <si>
    <t>OSU draw rate from long-term investment portfolio</t>
  </si>
  <si>
    <t>This spreadsheet calculates an investment account balance (50 years hence) created either by an initial payment from an external operator or by annual contributions by OSU if it manages parking operations.  Both alternatives assume that OSU receives annual distributions for non-parking uses equivalent to the amount that OSU would draw from the LTIP</t>
  </si>
  <si>
    <t>Distribution from LTIP</t>
  </si>
  <si>
    <t>LTIP at Start of Year</t>
  </si>
  <si>
    <t>Amount equal to LTIP distribution</t>
  </si>
  <si>
    <t>Addition to LTIP</t>
  </si>
  <si>
    <t>Return on LTIP</t>
  </si>
  <si>
    <t>Parking Operations Gross Margin</t>
  </si>
  <si>
    <t>Yr 50 LTIP value with external operator (in millions)</t>
  </si>
  <si>
    <t>Yr 50 LTIP with internal operations (in millions)</t>
  </si>
  <si>
    <t>Operator's Parking Operations Gross Margin</t>
  </si>
  <si>
    <t>Change in LTIP</t>
  </si>
  <si>
    <t>OSU Endowment with external operator-Annual Distribution Set to Free Cash Flow from OSU Operated Scenario</t>
  </si>
  <si>
    <t>Distributed Amount</t>
  </si>
  <si>
    <t>OSU Endowment with external operator-Annual Distribution Set to First Year Gross Margin from Internal Operations with Growth at Inflation</t>
  </si>
  <si>
    <t>Internal Operations--OSU Endowment with Annual Distribution Set to First Year Gross Margin from Internal Operations with Growth at Inflation</t>
  </si>
  <si>
    <t>Total Cash Distributed over 50 years (in millions)</t>
  </si>
  <si>
    <t>Endowment Distributions Based on:</t>
  </si>
  <si>
    <t>Draw Rate</t>
  </si>
  <si>
    <t>Distributable Cash Grows at Inflation after Year 1</t>
  </si>
  <si>
    <t>Distributable Cash if OSU operates parking</t>
  </si>
  <si>
    <t>Note: All input parameter values should be entered only on this worksheet, in the cells with bright yellow background below.  The "base" parameters assume that an external operator manages parking operations. Various parameters below can be used to set OSU parameters relative to external operator amounts.</t>
  </si>
</sst>
</file>

<file path=xl/styles.xml><?xml version="1.0" encoding="utf-8"?>
<styleSheet xmlns="http://schemas.openxmlformats.org/spreadsheetml/2006/main">
  <numFmts count="6">
    <numFmt numFmtId="6" formatCode="&quot;$&quot;#,##0_);[Red]\(&quot;$&quot;#,##0\)"/>
    <numFmt numFmtId="44" formatCode="_(&quot;$&quot;* #,##0.00_);_(&quot;$&quot;* \(#,##0.00\);_(&quot;$&quot;* &quot;-&quot;??_);_(@_)"/>
    <numFmt numFmtId="43" formatCode="_(* #,##0.00_);_(* \(#,##0.00\);_(* &quot;-&quot;??_);_(@_)"/>
    <numFmt numFmtId="164" formatCode="_([$$-409]* #,##0_);_([$$-409]* \(#,##0\);_([$$-409]* &quot;-&quot;_);_(@_)"/>
    <numFmt numFmtId="165" formatCode="_(&quot;$&quot;* #,##0_);_(&quot;$&quot;* \(#,##0\);_(&quot;$&quot;* &quot;-&quot;??_);_(@_)"/>
    <numFmt numFmtId="166" formatCode="_(* #,##0.000_);_(* \(#,##0.000\);_(* &quot;-&quot;??_);_(@_)"/>
  </numFmts>
  <fonts count="17">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8"/>
      <color rgb="FF000000"/>
      <name val="Times"/>
    </font>
    <font>
      <b/>
      <sz val="8"/>
      <color rgb="FF000000"/>
      <name val="Times"/>
    </font>
    <font>
      <b/>
      <sz val="8"/>
      <color theme="1"/>
      <name val="Times"/>
    </font>
    <font>
      <sz val="8"/>
      <color theme="1"/>
      <name val="Times"/>
    </font>
    <font>
      <sz val="8"/>
      <color theme="1"/>
      <name val="Calibri"/>
      <family val="2"/>
      <scheme val="minor"/>
    </font>
    <font>
      <sz val="8"/>
      <name val="Times"/>
    </font>
    <font>
      <sz val="8"/>
      <color theme="1"/>
      <name val="Times New Roman"/>
      <family val="1"/>
    </font>
    <font>
      <b/>
      <sz val="8"/>
      <color theme="1"/>
      <name val="Times New Roman"/>
      <family val="1"/>
    </font>
    <font>
      <b/>
      <sz val="12"/>
      <color theme="1"/>
      <name val="Calibri"/>
      <family val="2"/>
      <scheme val="minor"/>
    </font>
    <font>
      <sz val="12"/>
      <color theme="1"/>
      <name val="Times New Roman"/>
      <family val="1"/>
    </font>
    <font>
      <sz val="10"/>
      <color theme="1"/>
      <name val="Times New Roman"/>
      <family val="1"/>
    </font>
  </fonts>
  <fills count="12">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
      <patternFill patternType="solid">
        <fgColor rgb="FF00B050"/>
        <bgColor indexed="64"/>
      </patternFill>
    </fill>
  </fills>
  <borders count="24">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96">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126">
    <xf numFmtId="0" fontId="0" fillId="0" borderId="0" xfId="0"/>
    <xf numFmtId="0" fontId="10" fillId="0" borderId="0" xfId="0" applyFont="1"/>
    <xf numFmtId="0" fontId="8" fillId="0"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4" xfId="0" applyFont="1" applyBorder="1" applyAlignment="1">
      <alignment horizontal="center" vertical="top" wrapText="1"/>
    </xf>
    <xf numFmtId="164" fontId="11" fillId="0" borderId="0" xfId="0" applyNumberFormat="1" applyFont="1" applyFill="1" applyAlignment="1">
      <alignment vertical="top" wrapText="1"/>
    </xf>
    <xf numFmtId="0" fontId="9" fillId="0" borderId="4" xfId="0" applyFont="1" applyBorder="1"/>
    <xf numFmtId="164" fontId="9" fillId="0" borderId="4" xfId="0" applyNumberFormat="1" applyFont="1" applyFill="1" applyBorder="1" applyAlignment="1">
      <alignment vertical="top" wrapText="1"/>
    </xf>
    <xf numFmtId="0" fontId="8" fillId="5" borderId="1" xfId="0" applyFont="1" applyFill="1" applyBorder="1" applyAlignment="1">
      <alignment horizontal="center" vertical="top" wrapText="1"/>
    </xf>
    <xf numFmtId="0" fontId="8" fillId="5" borderId="2" xfId="0" applyFont="1" applyFill="1" applyBorder="1" applyAlignment="1">
      <alignment horizontal="center" vertical="top" wrapText="1"/>
    </xf>
    <xf numFmtId="0" fontId="9" fillId="0" borderId="4" xfId="0" applyFont="1" applyBorder="1" applyAlignment="1">
      <alignment vertical="top" wrapText="1"/>
    </xf>
    <xf numFmtId="0" fontId="8" fillId="0" borderId="5" xfId="0" applyFont="1" applyBorder="1" applyAlignment="1">
      <alignment vertical="top" wrapText="1"/>
    </xf>
    <xf numFmtId="6" fontId="8" fillId="0" borderId="8" xfId="0" applyNumberFormat="1" applyFont="1" applyBorder="1" applyAlignment="1">
      <alignment vertical="top" wrapText="1"/>
    </xf>
    <xf numFmtId="0" fontId="10" fillId="0" borderId="4" xfId="0" applyFont="1" applyBorder="1"/>
    <xf numFmtId="0" fontId="9" fillId="0" borderId="0" xfId="0" applyFont="1" applyAlignment="1">
      <alignment vertical="top" wrapText="1"/>
    </xf>
    <xf numFmtId="0" fontId="9" fillId="0" borderId="6" xfId="0" applyFont="1" applyBorder="1" applyAlignment="1">
      <alignment vertical="top" wrapText="1"/>
    </xf>
    <xf numFmtId="0" fontId="10" fillId="0" borderId="6" xfId="0" applyFont="1" applyBorder="1"/>
    <xf numFmtId="164" fontId="9" fillId="0" borderId="0" xfId="0" applyNumberFormat="1" applyFont="1" applyBorder="1" applyAlignment="1">
      <alignment vertical="top" wrapText="1"/>
    </xf>
    <xf numFmtId="164" fontId="9" fillId="0" borderId="4" xfId="0" applyNumberFormat="1" applyFont="1" applyBorder="1" applyAlignment="1">
      <alignment vertical="top" wrapText="1"/>
    </xf>
    <xf numFmtId="164" fontId="9" fillId="0" borderId="0" xfId="0" applyNumberFormat="1" applyFont="1" applyAlignment="1">
      <alignment vertical="top" wrapText="1"/>
    </xf>
    <xf numFmtId="164" fontId="9" fillId="0" borderId="7" xfId="0" applyNumberFormat="1" applyFont="1" applyBorder="1" applyAlignment="1">
      <alignment vertical="top" wrapText="1"/>
    </xf>
    <xf numFmtId="0" fontId="9" fillId="0" borderId="3" xfId="0" applyFont="1" applyBorder="1" applyAlignment="1">
      <alignment vertical="top" wrapText="1"/>
    </xf>
    <xf numFmtId="0" fontId="10" fillId="0" borderId="0" xfId="0" applyFont="1" applyBorder="1"/>
    <xf numFmtId="0" fontId="9" fillId="0" borderId="0" xfId="0" applyFont="1"/>
    <xf numFmtId="0" fontId="8" fillId="0" borderId="0" xfId="0" applyFont="1" applyAlignment="1">
      <alignment horizontal="center" vertical="center" wrapText="1"/>
    </xf>
    <xf numFmtId="165" fontId="8" fillId="4" borderId="0" xfId="220" applyNumberFormat="1" applyFont="1" applyFill="1" applyAlignment="1">
      <alignment horizontal="center" vertical="center" wrapText="1"/>
    </xf>
    <xf numFmtId="0" fontId="8" fillId="4" borderId="0" xfId="0" applyFont="1" applyFill="1" applyAlignment="1">
      <alignment horizontal="center" vertical="center" wrapText="1"/>
    </xf>
    <xf numFmtId="0" fontId="9" fillId="0" borderId="0" xfId="0" applyFont="1" applyAlignment="1">
      <alignment horizontal="center"/>
    </xf>
    <xf numFmtId="165" fontId="9" fillId="0" borderId="0" xfId="220" applyNumberFormat="1" applyFont="1"/>
    <xf numFmtId="0" fontId="9" fillId="0" borderId="6" xfId="0" applyFont="1" applyBorder="1" applyAlignment="1">
      <alignment horizontal="center"/>
    </xf>
    <xf numFmtId="165" fontId="9" fillId="0" borderId="6" xfId="220" applyNumberFormat="1" applyFont="1" applyBorder="1"/>
    <xf numFmtId="0" fontId="9" fillId="0" borderId="6" xfId="0" applyFont="1" applyBorder="1"/>
    <xf numFmtId="165" fontId="9" fillId="0" borderId="0" xfId="0" applyNumberFormat="1" applyFont="1"/>
    <xf numFmtId="0" fontId="8" fillId="3" borderId="11"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10" fillId="0" borderId="9" xfId="0" applyFont="1" applyBorder="1"/>
    <xf numFmtId="0" fontId="8" fillId="2" borderId="2" xfId="0" applyFont="1" applyFill="1" applyBorder="1" applyAlignment="1">
      <alignment horizontal="center"/>
    </xf>
    <xf numFmtId="164" fontId="9" fillId="0" borderId="3" xfId="0" applyNumberFormat="1" applyFont="1" applyBorder="1" applyAlignment="1">
      <alignment vertical="top" wrapText="1"/>
    </xf>
    <xf numFmtId="0" fontId="9" fillId="0" borderId="3" xfId="0" applyFont="1" applyBorder="1"/>
    <xf numFmtId="0" fontId="9" fillId="0" borderId="4" xfId="0" applyFont="1" applyFill="1" applyBorder="1"/>
    <xf numFmtId="0" fontId="9" fillId="0" borderId="0" xfId="0" applyFont="1" applyBorder="1" applyAlignment="1">
      <alignment vertical="top" wrapText="1"/>
    </xf>
    <xf numFmtId="6" fontId="9" fillId="0" borderId="4" xfId="0" applyNumberFormat="1" applyFont="1" applyBorder="1" applyAlignment="1">
      <alignment vertical="top" wrapText="1"/>
    </xf>
    <xf numFmtId="0" fontId="9" fillId="0" borderId="7" xfId="0" applyFont="1" applyBorder="1"/>
    <xf numFmtId="0" fontId="9" fillId="0" borderId="2" xfId="0" applyFont="1" applyBorder="1"/>
    <xf numFmtId="0" fontId="9" fillId="0" borderId="2" xfId="0" applyFont="1" applyBorder="1" applyAlignment="1">
      <alignment horizontal="center" vertical="top" wrapText="1"/>
    </xf>
    <xf numFmtId="164" fontId="9" fillId="0" borderId="2" xfId="0" applyNumberFormat="1" applyFont="1" applyBorder="1" applyAlignment="1">
      <alignment vertical="top" wrapText="1"/>
    </xf>
    <xf numFmtId="164" fontId="9" fillId="0" borderId="1" xfId="0" applyNumberFormat="1" applyFont="1" applyBorder="1" applyAlignment="1">
      <alignment vertical="top" wrapText="1"/>
    </xf>
    <xf numFmtId="0" fontId="10" fillId="0" borderId="7" xfId="0" applyFont="1" applyBorder="1"/>
    <xf numFmtId="6" fontId="9" fillId="0" borderId="4" xfId="0" applyNumberFormat="1" applyFont="1" applyBorder="1"/>
    <xf numFmtId="6" fontId="9" fillId="0" borderId="0" xfId="0" applyNumberFormat="1" applyFont="1" applyBorder="1"/>
    <xf numFmtId="0" fontId="12" fillId="0" borderId="0" xfId="0" applyFont="1"/>
    <xf numFmtId="165" fontId="12" fillId="0" borderId="0" xfId="220" applyNumberFormat="1" applyFont="1"/>
    <xf numFmtId="164" fontId="9" fillId="8" borderId="4" xfId="0" applyNumberFormat="1" applyFont="1" applyFill="1" applyBorder="1" applyAlignment="1">
      <alignment vertical="top" wrapText="1"/>
    </xf>
    <xf numFmtId="10" fontId="9" fillId="8" borderId="4" xfId="1" applyNumberFormat="1" applyFont="1" applyFill="1" applyBorder="1" applyAlignment="1">
      <alignment vertical="top" wrapText="1"/>
    </xf>
    <xf numFmtId="0" fontId="10" fillId="0" borderId="9" xfId="0" applyFont="1" applyBorder="1" applyAlignment="1">
      <alignment wrapText="1"/>
    </xf>
    <xf numFmtId="10" fontId="10" fillId="0" borderId="9" xfId="1" applyNumberFormat="1" applyFont="1" applyBorder="1" applyAlignment="1">
      <alignment wrapText="1"/>
    </xf>
    <xf numFmtId="10" fontId="12" fillId="0" borderId="0" xfId="0" applyNumberFormat="1" applyFont="1"/>
    <xf numFmtId="0" fontId="13" fillId="0" borderId="10" xfId="0" applyFont="1" applyFill="1" applyBorder="1" applyAlignment="1">
      <alignment horizontal="center" vertical="center" wrapText="1"/>
    </xf>
    <xf numFmtId="0" fontId="12" fillId="0" borderId="0" xfId="0" applyFont="1" applyAlignment="1">
      <alignment wrapText="1"/>
    </xf>
    <xf numFmtId="6" fontId="12" fillId="0" borderId="0" xfId="0" applyNumberFormat="1" applyFont="1"/>
    <xf numFmtId="166" fontId="12" fillId="0" borderId="0" xfId="295" applyNumberFormat="1" applyFont="1"/>
    <xf numFmtId="165" fontId="12" fillId="0" borderId="0" xfId="0" applyNumberFormat="1" applyFont="1"/>
    <xf numFmtId="0" fontId="12" fillId="0" borderId="0" xfId="0" applyFont="1" applyProtection="1">
      <protection locked="0"/>
    </xf>
    <xf numFmtId="0" fontId="12" fillId="0" borderId="3" xfId="0" applyFont="1" applyBorder="1" applyAlignment="1" applyProtection="1">
      <alignment vertical="top" wrapText="1"/>
      <protection locked="0"/>
    </xf>
    <xf numFmtId="10" fontId="12" fillId="0" borderId="0" xfId="0" applyNumberFormat="1" applyFont="1" applyProtection="1">
      <protection locked="0"/>
    </xf>
    <xf numFmtId="0" fontId="14" fillId="0" borderId="0" xfId="0" applyFont="1"/>
    <xf numFmtId="0" fontId="15" fillId="0" borderId="3" xfId="0" applyFont="1" applyBorder="1" applyAlignment="1">
      <alignment vertical="top" wrapText="1"/>
    </xf>
    <xf numFmtId="0" fontId="15" fillId="0" borderId="0" xfId="0" applyFont="1" applyBorder="1" applyAlignment="1">
      <alignment vertical="top" wrapText="1"/>
    </xf>
    <xf numFmtId="0" fontId="15" fillId="0" borderId="3" xfId="0" applyFont="1" applyBorder="1"/>
    <xf numFmtId="0" fontId="15" fillId="0" borderId="0" xfId="0" applyFont="1" applyBorder="1"/>
    <xf numFmtId="0" fontId="15" fillId="0" borderId="0" xfId="0" applyFont="1" applyAlignment="1">
      <alignment vertical="top" wrapText="1"/>
    </xf>
    <xf numFmtId="0" fontId="12" fillId="0" borderId="3" xfId="0" applyFont="1" applyFill="1" applyBorder="1" applyAlignment="1" applyProtection="1">
      <alignment vertical="top" wrapText="1"/>
      <protection locked="0"/>
    </xf>
    <xf numFmtId="0" fontId="0" fillId="0" borderId="0" xfId="0" applyProtection="1">
      <protection locked="0"/>
    </xf>
    <xf numFmtId="164" fontId="15" fillId="6" borderId="14" xfId="0" applyNumberFormat="1" applyFont="1" applyFill="1" applyBorder="1" applyAlignment="1">
      <alignment vertical="top" wrapText="1"/>
    </xf>
    <xf numFmtId="10" fontId="15" fillId="6" borderId="14" xfId="0" applyNumberFormat="1" applyFont="1" applyFill="1" applyBorder="1"/>
    <xf numFmtId="10" fontId="15" fillId="6" borderId="14" xfId="0" applyNumberFormat="1" applyFont="1" applyFill="1" applyBorder="1" applyAlignment="1">
      <alignment vertical="top" wrapText="1"/>
    </xf>
    <xf numFmtId="0" fontId="15" fillId="0" borderId="0" xfId="0" applyFont="1" applyBorder="1" applyAlignment="1">
      <alignment horizontal="right"/>
    </xf>
    <xf numFmtId="0" fontId="15" fillId="0" borderId="0" xfId="0" applyFont="1" applyFill="1" applyBorder="1"/>
    <xf numFmtId="10" fontId="15" fillId="0" borderId="0" xfId="0" applyNumberFormat="1" applyFont="1" applyFill="1" applyBorder="1" applyAlignment="1">
      <alignment vertical="top" wrapText="1"/>
    </xf>
    <xf numFmtId="0" fontId="0" fillId="0" borderId="0" xfId="0" applyFont="1" applyBorder="1"/>
    <xf numFmtId="0" fontId="0" fillId="0" borderId="0" xfId="0" applyBorder="1"/>
    <xf numFmtId="165" fontId="15" fillId="0" borderId="0" xfId="220" applyNumberFormat="1" applyFont="1" applyBorder="1"/>
    <xf numFmtId="165" fontId="15" fillId="0" borderId="0" xfId="220" applyNumberFormat="1" applyFont="1" applyFill="1" applyBorder="1"/>
    <xf numFmtId="0" fontId="15" fillId="6" borderId="14" xfId="0" applyFont="1" applyFill="1" applyBorder="1"/>
    <xf numFmtId="165" fontId="15" fillId="9" borderId="0" xfId="220" applyNumberFormat="1" applyFont="1" applyFill="1" applyBorder="1"/>
    <xf numFmtId="164" fontId="12" fillId="0" borderId="0" xfId="0" applyNumberFormat="1" applyFont="1"/>
    <xf numFmtId="165" fontId="15" fillId="10" borderId="0" xfId="220" applyNumberFormat="1" applyFont="1" applyFill="1" applyBorder="1"/>
    <xf numFmtId="0" fontId="15" fillId="0" borderId="0" xfId="0" applyFont="1" applyFill="1"/>
    <xf numFmtId="0" fontId="15" fillId="0" borderId="0" xfId="0" applyFont="1" applyFill="1" applyAlignment="1">
      <alignment vertical="top" wrapText="1"/>
    </xf>
    <xf numFmtId="0" fontId="0" fillId="0" borderId="0" xfId="0" applyFill="1"/>
    <xf numFmtId="0" fontId="0" fillId="0" borderId="0" xfId="0" applyFill="1" applyBorder="1"/>
    <xf numFmtId="44" fontId="0" fillId="0" borderId="0" xfId="220" applyFont="1" applyFill="1" applyBorder="1"/>
    <xf numFmtId="165" fontId="0" fillId="0" borderId="0" xfId="0" applyNumberFormat="1" applyFill="1" applyBorder="1"/>
    <xf numFmtId="0" fontId="15" fillId="0" borderId="0" xfId="0" applyFont="1" applyFill="1" applyAlignment="1">
      <alignment vertical="top" shrinkToFit="1"/>
    </xf>
    <xf numFmtId="10" fontId="15" fillId="6" borderId="15" xfId="0" applyNumberFormat="1" applyFont="1" applyFill="1" applyBorder="1" applyAlignment="1">
      <alignment vertical="top" wrapText="1"/>
    </xf>
    <xf numFmtId="0" fontId="15" fillId="0" borderId="16" xfId="0" applyFont="1" applyFill="1" applyBorder="1"/>
    <xf numFmtId="0" fontId="15" fillId="0" borderId="17" xfId="0" applyFont="1" applyBorder="1"/>
    <xf numFmtId="0" fontId="15" fillId="9" borderId="17" xfId="0" applyFont="1" applyFill="1" applyBorder="1" applyAlignment="1">
      <alignment horizontal="right"/>
    </xf>
    <xf numFmtId="0" fontId="15" fillId="10" borderId="17" xfId="0" applyFont="1" applyFill="1" applyBorder="1" applyAlignment="1">
      <alignment horizontal="right" wrapText="1"/>
    </xf>
    <xf numFmtId="0" fontId="15" fillId="11" borderId="18" xfId="0" applyFont="1" applyFill="1" applyBorder="1" applyAlignment="1">
      <alignment horizontal="right" wrapText="1"/>
    </xf>
    <xf numFmtId="0" fontId="15" fillId="0" borderId="19" xfId="0" applyFont="1" applyFill="1" applyBorder="1" applyAlignment="1">
      <alignment vertical="top" wrapText="1"/>
    </xf>
    <xf numFmtId="165" fontId="15" fillId="11" borderId="20" xfId="220" applyNumberFormat="1" applyFont="1" applyFill="1" applyBorder="1"/>
    <xf numFmtId="0" fontId="15" fillId="0" borderId="21" xfId="0" applyFont="1" applyFill="1" applyBorder="1"/>
    <xf numFmtId="0" fontId="0" fillId="0" borderId="22" xfId="0" applyFont="1" applyFill="1" applyBorder="1"/>
    <xf numFmtId="165" fontId="15" fillId="9" borderId="22" xfId="220" applyNumberFormat="1" applyFont="1" applyFill="1" applyBorder="1"/>
    <xf numFmtId="165" fontId="15" fillId="10" borderId="22" xfId="220" applyNumberFormat="1" applyFont="1" applyFill="1" applyBorder="1"/>
    <xf numFmtId="165" fontId="15" fillId="11" borderId="23" xfId="220" applyNumberFormat="1" applyFont="1" applyFill="1" applyBorder="1"/>
    <xf numFmtId="0" fontId="15" fillId="0" borderId="3" xfId="0" applyFont="1" applyBorder="1" applyAlignment="1">
      <alignment wrapText="1"/>
    </xf>
    <xf numFmtId="0" fontId="15" fillId="0" borderId="0" xfId="0" applyFont="1" applyBorder="1" applyAlignment="1">
      <alignment wrapText="1"/>
    </xf>
    <xf numFmtId="164" fontId="15" fillId="6" borderId="14" xfId="0" applyNumberFormat="1" applyFont="1" applyFill="1" applyBorder="1" applyAlignment="1">
      <alignment wrapText="1"/>
    </xf>
    <xf numFmtId="0" fontId="15" fillId="6" borderId="0" xfId="0" applyFont="1" applyFill="1" applyBorder="1" applyAlignment="1">
      <alignment horizontal="center" vertical="center" wrapText="1"/>
    </xf>
    <xf numFmtId="0" fontId="16" fillId="0" borderId="12" xfId="0" applyFont="1" applyBorder="1" applyAlignment="1">
      <alignment horizontal="left" wrapText="1"/>
    </xf>
    <xf numFmtId="0" fontId="16" fillId="0" borderId="13" xfId="0" applyFont="1" applyBorder="1" applyAlignment="1">
      <alignment horizontal="left"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6" fillId="0" borderId="5" xfId="0" applyFont="1" applyBorder="1" applyAlignment="1">
      <alignment wrapText="1"/>
    </xf>
    <xf numFmtId="0" fontId="6" fillId="0" borderId="6" xfId="0" applyFont="1" applyBorder="1" applyAlignment="1">
      <alignment wrapText="1"/>
    </xf>
    <xf numFmtId="0" fontId="6" fillId="0" borderId="8" xfId="0" applyFont="1" applyBorder="1" applyAlignment="1">
      <alignment wrapText="1"/>
    </xf>
    <xf numFmtId="0" fontId="6" fillId="0" borderId="3" xfId="0" applyFont="1" applyBorder="1" applyAlignment="1">
      <alignment wrapText="1"/>
    </xf>
    <xf numFmtId="0" fontId="6" fillId="0" borderId="0" xfId="0" applyFont="1" applyBorder="1" applyAlignment="1">
      <alignment wrapText="1"/>
    </xf>
  </cellXfs>
  <cellStyles count="296">
    <cellStyle name="Comma" xfId="295" builtinId="3"/>
    <cellStyle name="Currency" xfId="220"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Normal" xfId="0" builtinId="0"/>
    <cellStyle name="Percent" xfId="1"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C52"/>
  <sheetViews>
    <sheetView tabSelected="1" workbookViewId="0">
      <pane xSplit="2" ySplit="2" topLeftCell="C3" activePane="bottomRight" state="frozen"/>
      <selection pane="topRight" activeCell="C1" sqref="C1"/>
      <selection pane="bottomLeft" activeCell="A3" sqref="A3"/>
      <selection pane="bottomRight" activeCell="C17" sqref="C17"/>
    </sheetView>
  </sheetViews>
  <sheetFormatPr defaultRowHeight="15.75"/>
  <cols>
    <col min="1" max="1" width="51.5" bestFit="1" customWidth="1"/>
    <col min="2" max="2" width="2.25" customWidth="1"/>
    <col min="3" max="3" width="16.375" style="82" customWidth="1"/>
    <col min="4" max="4" width="12.75" style="82" customWidth="1"/>
    <col min="5" max="5" width="11.5" style="82" customWidth="1"/>
    <col min="6" max="13" width="8" style="82" bestFit="1" customWidth="1"/>
    <col min="17" max="17" width="3.625" bestFit="1" customWidth="1"/>
    <col min="18" max="28" width="9.75" customWidth="1"/>
  </cols>
  <sheetData>
    <row r="1" spans="1:29" ht="16.5" thickBot="1">
      <c r="A1" s="67" t="s">
        <v>58</v>
      </c>
      <c r="B1" s="67"/>
      <c r="C1" s="78" t="s">
        <v>57</v>
      </c>
      <c r="D1" s="78" t="s">
        <v>27</v>
      </c>
      <c r="E1" s="78" t="s">
        <v>28</v>
      </c>
      <c r="F1" s="78" t="s">
        <v>29</v>
      </c>
      <c r="G1" s="78" t="s">
        <v>30</v>
      </c>
      <c r="H1" s="78" t="s">
        <v>31</v>
      </c>
      <c r="I1" s="78" t="s">
        <v>32</v>
      </c>
      <c r="J1" s="78" t="s">
        <v>33</v>
      </c>
      <c r="K1" s="78" t="s">
        <v>34</v>
      </c>
      <c r="L1" s="78" t="s">
        <v>35</v>
      </c>
      <c r="M1" s="78" t="s">
        <v>36</v>
      </c>
      <c r="Q1" s="74"/>
      <c r="R1" s="74"/>
      <c r="S1" s="74"/>
      <c r="T1" s="74"/>
      <c r="U1" s="74"/>
      <c r="V1" s="74"/>
      <c r="W1" s="74"/>
      <c r="X1" s="74"/>
      <c r="Y1" s="74"/>
      <c r="Z1" s="74"/>
      <c r="AA1" s="74"/>
      <c r="AB1" s="74"/>
    </row>
    <row r="2" spans="1:29" ht="68.25" thickBot="1">
      <c r="A2" s="113" t="s">
        <v>70</v>
      </c>
      <c r="B2" s="114"/>
      <c r="C2" s="112" t="s">
        <v>90</v>
      </c>
      <c r="D2" s="112"/>
      <c r="E2" s="112"/>
      <c r="F2" s="112"/>
      <c r="G2" s="112"/>
      <c r="H2" s="112"/>
      <c r="I2" s="112"/>
      <c r="J2" s="112"/>
      <c r="K2" s="112"/>
      <c r="L2" s="112"/>
      <c r="M2" s="112"/>
      <c r="Q2" s="64" t="s">
        <v>0</v>
      </c>
      <c r="R2" s="65" t="str">
        <f>A7</f>
        <v>Parking permit price increase (if annual permits are separated)</v>
      </c>
      <c r="S2" s="65" t="str">
        <f>A8</f>
        <v>Parking permit volume increase (if annual permits are separated)</v>
      </c>
      <c r="T2" s="65" t="str">
        <f>A9</f>
        <v>Parking price increase (excluding annual permits if separated)</v>
      </c>
      <c r="U2" s="65" t="str">
        <f>A10</f>
        <v>Parking volume increase (excluding annual permits if separated)</v>
      </c>
      <c r="V2" s="65" t="str">
        <f>A12</f>
        <v>Revenue generated by OSU as fraction of operator</v>
      </c>
      <c r="W2" s="65" t="str">
        <f>A13</f>
        <v>Rate of increase in parking operation costs by operator</v>
      </c>
      <c r="X2" s="65" t="str">
        <f>A14</f>
        <v>Operating costs by OSU as fraction of operator costs</v>
      </c>
      <c r="Y2" s="65" t="str">
        <f>A15</f>
        <v>CapEx costs by OSU as fraction of operator costs</v>
      </c>
      <c r="Z2" s="65" t="str">
        <f>A18</f>
        <v>Return on long-term investment portfolio</v>
      </c>
      <c r="AA2" s="65" t="str">
        <f>A19</f>
        <v>OSU draw rate from long-term investment portfolio</v>
      </c>
      <c r="AB2" s="65" t="str">
        <f>A21</f>
        <v>Inflation (assumed always ≤ 4%/yr)</v>
      </c>
      <c r="AC2" s="73"/>
    </row>
    <row r="3" spans="1:29" ht="20.25" customHeight="1">
      <c r="A3" s="109" t="s">
        <v>60</v>
      </c>
      <c r="B3" s="110"/>
      <c r="C3" s="111">
        <v>30000000</v>
      </c>
      <c r="D3" s="71"/>
      <c r="E3" s="71"/>
      <c r="F3" s="71"/>
      <c r="G3" s="71"/>
      <c r="H3" s="71"/>
      <c r="I3" s="71"/>
      <c r="J3" s="71"/>
      <c r="K3" s="71"/>
      <c r="L3" s="71"/>
      <c r="M3" s="71"/>
      <c r="Q3" s="64">
        <v>1</v>
      </c>
      <c r="R3" s="66">
        <f>D7</f>
        <v>5.5E-2</v>
      </c>
      <c r="S3" s="66">
        <f>D8</f>
        <v>0</v>
      </c>
      <c r="T3" s="66">
        <f>D9</f>
        <v>5.5E-2</v>
      </c>
      <c r="U3" s="66">
        <f>D10</f>
        <v>0</v>
      </c>
      <c r="V3" s="66">
        <f>D12</f>
        <v>1</v>
      </c>
      <c r="W3" s="66">
        <f>D13</f>
        <v>3.3000000000000002E-2</v>
      </c>
      <c r="X3" s="66">
        <f>D14</f>
        <v>1</v>
      </c>
      <c r="Y3" s="66">
        <f>D15</f>
        <v>1</v>
      </c>
      <c r="Z3" s="66">
        <f>D18</f>
        <v>0.09</v>
      </c>
      <c r="AA3" s="66">
        <f>D19</f>
        <v>4.2500000000000003E-2</v>
      </c>
      <c r="AB3" s="66">
        <f>D21</f>
        <v>3.3000000000000002E-2</v>
      </c>
      <c r="AC3" s="58"/>
    </row>
    <row r="4" spans="1:29">
      <c r="A4" s="68" t="s">
        <v>63</v>
      </c>
      <c r="B4" s="69"/>
      <c r="C4" s="75"/>
      <c r="D4" s="71"/>
      <c r="E4" s="71"/>
      <c r="F4" s="71"/>
      <c r="G4" s="71"/>
      <c r="H4" s="71"/>
      <c r="I4" s="71"/>
      <c r="J4" s="71"/>
      <c r="K4" s="71"/>
      <c r="L4" s="71"/>
      <c r="M4" s="71"/>
      <c r="Q4" s="64">
        <v>2</v>
      </c>
      <c r="R4" s="66">
        <f>R3</f>
        <v>5.5E-2</v>
      </c>
      <c r="S4" s="66">
        <f t="shared" ref="S4:AB4" si="0">S3</f>
        <v>0</v>
      </c>
      <c r="T4" s="66">
        <f t="shared" si="0"/>
        <v>5.5E-2</v>
      </c>
      <c r="U4" s="66">
        <f t="shared" si="0"/>
        <v>0</v>
      </c>
      <c r="V4" s="66">
        <f t="shared" si="0"/>
        <v>1</v>
      </c>
      <c r="W4" s="66">
        <f t="shared" si="0"/>
        <v>3.3000000000000002E-2</v>
      </c>
      <c r="X4" s="66">
        <f t="shared" si="0"/>
        <v>1</v>
      </c>
      <c r="Y4" s="66">
        <f t="shared" si="0"/>
        <v>1</v>
      </c>
      <c r="Z4" s="66">
        <f t="shared" si="0"/>
        <v>0.09</v>
      </c>
      <c r="AA4" s="66">
        <f t="shared" si="0"/>
        <v>4.2500000000000003E-2</v>
      </c>
      <c r="AB4" s="66">
        <f t="shared" si="0"/>
        <v>3.3000000000000002E-2</v>
      </c>
      <c r="AC4" s="66"/>
    </row>
    <row r="5" spans="1:29">
      <c r="A5" s="68" t="s">
        <v>61</v>
      </c>
      <c r="B5" s="69"/>
      <c r="C5" s="75">
        <v>9000000</v>
      </c>
      <c r="D5" s="71"/>
      <c r="E5" s="71"/>
      <c r="F5" s="71"/>
      <c r="G5" s="71"/>
      <c r="H5" s="71"/>
      <c r="I5" s="71"/>
      <c r="J5" s="71"/>
      <c r="K5" s="71"/>
      <c r="L5" s="71"/>
      <c r="M5" s="71"/>
      <c r="Q5" s="64">
        <v>3</v>
      </c>
      <c r="R5" s="66">
        <f t="shared" ref="R5:R7" si="1">R4</f>
        <v>5.5E-2</v>
      </c>
      <c r="S5" s="66">
        <f t="shared" ref="S5:S7" si="2">S4</f>
        <v>0</v>
      </c>
      <c r="T5" s="66">
        <f t="shared" ref="T5:T7" si="3">T4</f>
        <v>5.5E-2</v>
      </c>
      <c r="U5" s="66">
        <f t="shared" ref="U5:U7" si="4">U4</f>
        <v>0</v>
      </c>
      <c r="V5" s="66">
        <f t="shared" ref="V5:V7" si="5">V4</f>
        <v>1</v>
      </c>
      <c r="W5" s="66">
        <f t="shared" ref="W5:W7" si="6">W4</f>
        <v>3.3000000000000002E-2</v>
      </c>
      <c r="X5" s="66">
        <f t="shared" ref="X5:X7" si="7">X4</f>
        <v>1</v>
      </c>
      <c r="Y5" s="66">
        <f t="shared" ref="Y5:Y7" si="8">Y4</f>
        <v>1</v>
      </c>
      <c r="Z5" s="66">
        <f t="shared" ref="Z5:Z7" si="9">Z4</f>
        <v>0.09</v>
      </c>
      <c r="AA5" s="66">
        <f t="shared" ref="AA5:AA7" si="10">AA4</f>
        <v>4.2500000000000003E-2</v>
      </c>
      <c r="AB5" s="66">
        <f t="shared" ref="AB5:AB7" si="11">AB4</f>
        <v>3.3000000000000002E-2</v>
      </c>
      <c r="AC5" s="66"/>
    </row>
    <row r="6" spans="1:29">
      <c r="A6" s="70"/>
      <c r="B6" s="71"/>
      <c r="C6" s="79"/>
      <c r="D6" s="71"/>
      <c r="E6" s="71"/>
      <c r="F6" s="71"/>
      <c r="G6" s="71"/>
      <c r="H6" s="71"/>
      <c r="I6" s="71"/>
      <c r="J6" s="71"/>
      <c r="K6" s="71"/>
      <c r="L6" s="71"/>
      <c r="M6" s="71"/>
      <c r="Q6" s="64">
        <v>4</v>
      </c>
      <c r="R6" s="66">
        <f t="shared" si="1"/>
        <v>5.5E-2</v>
      </c>
      <c r="S6" s="66">
        <f t="shared" si="2"/>
        <v>0</v>
      </c>
      <c r="T6" s="66">
        <f t="shared" si="3"/>
        <v>5.5E-2</v>
      </c>
      <c r="U6" s="66">
        <f t="shared" si="4"/>
        <v>0</v>
      </c>
      <c r="V6" s="66">
        <f t="shared" si="5"/>
        <v>1</v>
      </c>
      <c r="W6" s="66">
        <f t="shared" si="6"/>
        <v>3.3000000000000002E-2</v>
      </c>
      <c r="X6" s="66">
        <f t="shared" si="7"/>
        <v>1</v>
      </c>
      <c r="Y6" s="66">
        <f t="shared" si="8"/>
        <v>1</v>
      </c>
      <c r="Z6" s="66">
        <f t="shared" si="9"/>
        <v>0.09</v>
      </c>
      <c r="AA6" s="66">
        <f t="shared" si="10"/>
        <v>4.2500000000000003E-2</v>
      </c>
      <c r="AB6" s="66">
        <f t="shared" si="11"/>
        <v>3.3000000000000002E-2</v>
      </c>
      <c r="AC6" s="66"/>
    </row>
    <row r="7" spans="1:29">
      <c r="A7" s="68" t="s">
        <v>64</v>
      </c>
      <c r="B7" s="69"/>
      <c r="C7" s="80"/>
      <c r="D7" s="76">
        <v>5.5E-2</v>
      </c>
      <c r="E7" s="76">
        <v>5.5E-2</v>
      </c>
      <c r="F7" s="76">
        <v>0.04</v>
      </c>
      <c r="G7" s="76">
        <v>0.04</v>
      </c>
      <c r="H7" s="76">
        <v>0.04</v>
      </c>
      <c r="I7" s="76">
        <v>0.04</v>
      </c>
      <c r="J7" s="76">
        <v>0.04</v>
      </c>
      <c r="K7" s="76">
        <v>0.04</v>
      </c>
      <c r="L7" s="76">
        <v>0.04</v>
      </c>
      <c r="M7" s="76">
        <v>0.04</v>
      </c>
      <c r="Q7" s="64">
        <v>5</v>
      </c>
      <c r="R7" s="66">
        <f t="shared" si="1"/>
        <v>5.5E-2</v>
      </c>
      <c r="S7" s="66">
        <f t="shared" si="2"/>
        <v>0</v>
      </c>
      <c r="T7" s="66">
        <f t="shared" si="3"/>
        <v>5.5E-2</v>
      </c>
      <c r="U7" s="66">
        <f t="shared" si="4"/>
        <v>0</v>
      </c>
      <c r="V7" s="66">
        <f t="shared" si="5"/>
        <v>1</v>
      </c>
      <c r="W7" s="66">
        <f t="shared" si="6"/>
        <v>3.3000000000000002E-2</v>
      </c>
      <c r="X7" s="66">
        <f t="shared" si="7"/>
        <v>1</v>
      </c>
      <c r="Y7" s="66">
        <f t="shared" si="8"/>
        <v>1</v>
      </c>
      <c r="Z7" s="66">
        <f t="shared" si="9"/>
        <v>0.09</v>
      </c>
      <c r="AA7" s="66">
        <f t="shared" si="10"/>
        <v>4.2500000000000003E-2</v>
      </c>
      <c r="AB7" s="66">
        <f t="shared" si="11"/>
        <v>3.3000000000000002E-2</v>
      </c>
      <c r="AC7" s="66"/>
    </row>
    <row r="8" spans="1:29">
      <c r="A8" s="68" t="s">
        <v>65</v>
      </c>
      <c r="B8" s="69"/>
      <c r="C8" s="80"/>
      <c r="D8" s="76">
        <v>0</v>
      </c>
      <c r="E8" s="76">
        <v>0</v>
      </c>
      <c r="F8" s="76">
        <v>0</v>
      </c>
      <c r="G8" s="76">
        <v>0</v>
      </c>
      <c r="H8" s="76">
        <v>0</v>
      </c>
      <c r="I8" s="76">
        <v>0</v>
      </c>
      <c r="J8" s="76">
        <v>0</v>
      </c>
      <c r="K8" s="76">
        <v>0</v>
      </c>
      <c r="L8" s="76">
        <v>0</v>
      </c>
      <c r="M8" s="76">
        <v>0</v>
      </c>
      <c r="Q8" s="64">
        <v>6</v>
      </c>
      <c r="R8" s="66">
        <f>E7</f>
        <v>5.5E-2</v>
      </c>
      <c r="S8" s="66">
        <f>E8</f>
        <v>0</v>
      </c>
      <c r="T8" s="66">
        <f>E9</f>
        <v>5.5E-2</v>
      </c>
      <c r="U8" s="66">
        <f>E10</f>
        <v>0</v>
      </c>
      <c r="V8" s="66">
        <f>E12</f>
        <v>1</v>
      </c>
      <c r="W8" s="66">
        <f>E13</f>
        <v>3.3000000000000002E-2</v>
      </c>
      <c r="X8" s="66">
        <f>E14</f>
        <v>1</v>
      </c>
      <c r="Y8" s="66">
        <f>E15</f>
        <v>1</v>
      </c>
      <c r="Z8" s="66">
        <f>E18</f>
        <v>0.09</v>
      </c>
      <c r="AA8" s="66">
        <f>E19</f>
        <v>4.2500000000000003E-2</v>
      </c>
      <c r="AB8" s="66">
        <f>E21</f>
        <v>3.3000000000000002E-2</v>
      </c>
      <c r="AC8" s="66"/>
    </row>
    <row r="9" spans="1:29">
      <c r="A9" s="68" t="s">
        <v>66</v>
      </c>
      <c r="B9" s="69"/>
      <c r="C9" s="80"/>
      <c r="D9" s="76">
        <v>5.5E-2</v>
      </c>
      <c r="E9" s="76">
        <v>5.5E-2</v>
      </c>
      <c r="F9" s="76">
        <v>0.04</v>
      </c>
      <c r="G9" s="76">
        <v>0.04</v>
      </c>
      <c r="H9" s="76">
        <v>0.04</v>
      </c>
      <c r="I9" s="76">
        <v>0.04</v>
      </c>
      <c r="J9" s="76">
        <v>0.04</v>
      </c>
      <c r="K9" s="76">
        <v>0.04</v>
      </c>
      <c r="L9" s="76">
        <v>0.04</v>
      </c>
      <c r="M9" s="76">
        <v>0.04</v>
      </c>
      <c r="Q9" s="64">
        <v>7</v>
      </c>
      <c r="R9" s="66">
        <f>R8</f>
        <v>5.5E-2</v>
      </c>
      <c r="S9" s="66">
        <f t="shared" ref="S9:AB9" si="12">S8</f>
        <v>0</v>
      </c>
      <c r="T9" s="66">
        <f t="shared" si="12"/>
        <v>5.5E-2</v>
      </c>
      <c r="U9" s="66">
        <f t="shared" si="12"/>
        <v>0</v>
      </c>
      <c r="V9" s="66">
        <f t="shared" si="12"/>
        <v>1</v>
      </c>
      <c r="W9" s="66">
        <f t="shared" si="12"/>
        <v>3.3000000000000002E-2</v>
      </c>
      <c r="X9" s="66">
        <f t="shared" si="12"/>
        <v>1</v>
      </c>
      <c r="Y9" s="66">
        <f t="shared" si="12"/>
        <v>1</v>
      </c>
      <c r="Z9" s="66">
        <f t="shared" si="12"/>
        <v>0.09</v>
      </c>
      <c r="AA9" s="66">
        <f t="shared" si="12"/>
        <v>4.2500000000000003E-2</v>
      </c>
      <c r="AB9" s="66">
        <f t="shared" si="12"/>
        <v>3.3000000000000002E-2</v>
      </c>
      <c r="AC9" s="66"/>
    </row>
    <row r="10" spans="1:29">
      <c r="A10" s="68" t="s">
        <v>67</v>
      </c>
      <c r="B10" s="69"/>
      <c r="C10" s="80"/>
      <c r="D10" s="76">
        <v>0</v>
      </c>
      <c r="E10" s="76">
        <v>0</v>
      </c>
      <c r="F10" s="76">
        <v>0</v>
      </c>
      <c r="G10" s="76">
        <v>0</v>
      </c>
      <c r="H10" s="76">
        <v>0</v>
      </c>
      <c r="I10" s="76">
        <v>0</v>
      </c>
      <c r="J10" s="76">
        <v>0</v>
      </c>
      <c r="K10" s="76">
        <v>0</v>
      </c>
      <c r="L10" s="76">
        <v>0</v>
      </c>
      <c r="M10" s="76">
        <v>0</v>
      </c>
      <c r="Q10" s="64">
        <v>8</v>
      </c>
      <c r="R10" s="66">
        <f t="shared" ref="R10:R12" si="13">R9</f>
        <v>5.5E-2</v>
      </c>
      <c r="S10" s="66">
        <f t="shared" ref="S10:S12" si="14">S9</f>
        <v>0</v>
      </c>
      <c r="T10" s="66">
        <f t="shared" ref="T10:T12" si="15">T9</f>
        <v>5.5E-2</v>
      </c>
      <c r="U10" s="66">
        <f t="shared" ref="U10:U12" si="16">U9</f>
        <v>0</v>
      </c>
      <c r="V10" s="66">
        <f t="shared" ref="V10:V12" si="17">V9</f>
        <v>1</v>
      </c>
      <c r="W10" s="66">
        <f t="shared" ref="W10:W12" si="18">W9</f>
        <v>3.3000000000000002E-2</v>
      </c>
      <c r="X10" s="66">
        <f t="shared" ref="X10:X12" si="19">X9</f>
        <v>1</v>
      </c>
      <c r="Y10" s="66">
        <f t="shared" ref="Y10:Y12" si="20">Y9</f>
        <v>1</v>
      </c>
      <c r="Z10" s="66">
        <f t="shared" ref="Z10:Z12" si="21">Z9</f>
        <v>0.09</v>
      </c>
      <c r="AA10" s="66">
        <f t="shared" ref="AA10:AA12" si="22">AA9</f>
        <v>4.2500000000000003E-2</v>
      </c>
      <c r="AB10" s="66">
        <f t="shared" ref="AB10:AB12" si="23">AB9</f>
        <v>3.3000000000000002E-2</v>
      </c>
      <c r="AC10" s="66"/>
    </row>
    <row r="11" spans="1:29">
      <c r="A11" s="68"/>
      <c r="B11" s="69"/>
      <c r="C11" s="80"/>
      <c r="D11" s="71"/>
      <c r="E11" s="71"/>
      <c r="F11" s="71"/>
      <c r="G11" s="71"/>
      <c r="H11" s="71"/>
      <c r="I11" s="71"/>
      <c r="J11" s="71"/>
      <c r="K11" s="71"/>
      <c r="L11" s="71"/>
      <c r="M11" s="71"/>
      <c r="Q11" s="64">
        <v>9</v>
      </c>
      <c r="R11" s="66">
        <f t="shared" si="13"/>
        <v>5.5E-2</v>
      </c>
      <c r="S11" s="66">
        <f t="shared" si="14"/>
        <v>0</v>
      </c>
      <c r="T11" s="66">
        <f t="shared" si="15"/>
        <v>5.5E-2</v>
      </c>
      <c r="U11" s="66">
        <f t="shared" si="16"/>
        <v>0</v>
      </c>
      <c r="V11" s="66">
        <f t="shared" si="17"/>
        <v>1</v>
      </c>
      <c r="W11" s="66">
        <f t="shared" si="18"/>
        <v>3.3000000000000002E-2</v>
      </c>
      <c r="X11" s="66">
        <f t="shared" si="19"/>
        <v>1</v>
      </c>
      <c r="Y11" s="66">
        <f t="shared" si="20"/>
        <v>1</v>
      </c>
      <c r="Z11" s="66">
        <f t="shared" si="21"/>
        <v>0.09</v>
      </c>
      <c r="AA11" s="66">
        <f t="shared" si="22"/>
        <v>4.2500000000000003E-2</v>
      </c>
      <c r="AB11" s="66">
        <f t="shared" si="23"/>
        <v>3.3000000000000002E-2</v>
      </c>
      <c r="AC11" s="66"/>
    </row>
    <row r="12" spans="1:29">
      <c r="A12" s="68" t="s">
        <v>37</v>
      </c>
      <c r="B12" s="69"/>
      <c r="C12" s="80"/>
      <c r="D12" s="76">
        <v>1</v>
      </c>
      <c r="E12" s="76">
        <v>1</v>
      </c>
      <c r="F12" s="76">
        <v>1</v>
      </c>
      <c r="G12" s="76">
        <v>1</v>
      </c>
      <c r="H12" s="76">
        <v>1</v>
      </c>
      <c r="I12" s="76">
        <v>1</v>
      </c>
      <c r="J12" s="76">
        <v>1</v>
      </c>
      <c r="K12" s="76">
        <v>1</v>
      </c>
      <c r="L12" s="76">
        <v>1</v>
      </c>
      <c r="M12" s="76">
        <v>1</v>
      </c>
      <c r="Q12" s="64">
        <v>10</v>
      </c>
      <c r="R12" s="66">
        <f t="shared" si="13"/>
        <v>5.5E-2</v>
      </c>
      <c r="S12" s="66">
        <f t="shared" si="14"/>
        <v>0</v>
      </c>
      <c r="T12" s="66">
        <f t="shared" si="15"/>
        <v>5.5E-2</v>
      </c>
      <c r="U12" s="66">
        <f t="shared" si="16"/>
        <v>0</v>
      </c>
      <c r="V12" s="66">
        <f t="shared" si="17"/>
        <v>1</v>
      </c>
      <c r="W12" s="66">
        <f t="shared" si="18"/>
        <v>3.3000000000000002E-2</v>
      </c>
      <c r="X12" s="66">
        <f t="shared" si="19"/>
        <v>1</v>
      </c>
      <c r="Y12" s="66">
        <f t="shared" si="20"/>
        <v>1</v>
      </c>
      <c r="Z12" s="66">
        <f t="shared" si="21"/>
        <v>0.09</v>
      </c>
      <c r="AA12" s="66">
        <f t="shared" si="22"/>
        <v>4.2500000000000003E-2</v>
      </c>
      <c r="AB12" s="66">
        <f t="shared" si="23"/>
        <v>3.3000000000000002E-2</v>
      </c>
      <c r="AC12" s="66"/>
    </row>
    <row r="13" spans="1:29">
      <c r="A13" s="68" t="s">
        <v>39</v>
      </c>
      <c r="B13" s="69"/>
      <c r="C13" s="80"/>
      <c r="D13" s="76">
        <v>3.3000000000000002E-2</v>
      </c>
      <c r="E13" s="76">
        <v>3.3000000000000002E-2</v>
      </c>
      <c r="F13" s="76">
        <v>3.3000000000000002E-2</v>
      </c>
      <c r="G13" s="76">
        <v>3.3000000000000002E-2</v>
      </c>
      <c r="H13" s="76">
        <v>3.3000000000000002E-2</v>
      </c>
      <c r="I13" s="76">
        <v>3.3000000000000002E-2</v>
      </c>
      <c r="J13" s="76">
        <v>3.3000000000000002E-2</v>
      </c>
      <c r="K13" s="76">
        <v>3.3000000000000002E-2</v>
      </c>
      <c r="L13" s="76">
        <v>3.3000000000000002E-2</v>
      </c>
      <c r="M13" s="76">
        <v>3.3000000000000002E-2</v>
      </c>
      <c r="Q13" s="64">
        <v>11</v>
      </c>
      <c r="R13" s="66">
        <f>F7</f>
        <v>0.04</v>
      </c>
      <c r="S13" s="66">
        <f>F8</f>
        <v>0</v>
      </c>
      <c r="T13" s="66">
        <f>F9</f>
        <v>0.04</v>
      </c>
      <c r="U13" s="66">
        <f>F10</f>
        <v>0</v>
      </c>
      <c r="V13" s="66">
        <f>F12</f>
        <v>1</v>
      </c>
      <c r="W13" s="66">
        <f>F13</f>
        <v>3.3000000000000002E-2</v>
      </c>
      <c r="X13" s="66">
        <f>F14</f>
        <v>1</v>
      </c>
      <c r="Y13" s="66">
        <f>F15</f>
        <v>1</v>
      </c>
      <c r="Z13" s="66">
        <f>F18</f>
        <v>0.09</v>
      </c>
      <c r="AA13" s="66">
        <f>F19</f>
        <v>4.2500000000000003E-2</v>
      </c>
      <c r="AB13" s="66">
        <f>F21</f>
        <v>3.3000000000000002E-2</v>
      </c>
      <c r="AC13" s="66"/>
    </row>
    <row r="14" spans="1:29">
      <c r="A14" s="68" t="s">
        <v>38</v>
      </c>
      <c r="B14" s="69"/>
      <c r="C14" s="80"/>
      <c r="D14" s="76">
        <v>1</v>
      </c>
      <c r="E14" s="76">
        <v>1</v>
      </c>
      <c r="F14" s="76">
        <v>1</v>
      </c>
      <c r="G14" s="76">
        <v>1</v>
      </c>
      <c r="H14" s="76">
        <v>1</v>
      </c>
      <c r="I14" s="76">
        <v>1</v>
      </c>
      <c r="J14" s="76">
        <v>1</v>
      </c>
      <c r="K14" s="76">
        <v>1</v>
      </c>
      <c r="L14" s="76">
        <v>1</v>
      </c>
      <c r="M14" s="76">
        <v>1</v>
      </c>
      <c r="Q14" s="64">
        <v>12</v>
      </c>
      <c r="R14" s="66">
        <f>R13</f>
        <v>0.04</v>
      </c>
      <c r="S14" s="66">
        <f t="shared" ref="S14:AB14" si="24">S13</f>
        <v>0</v>
      </c>
      <c r="T14" s="66">
        <f t="shared" si="24"/>
        <v>0.04</v>
      </c>
      <c r="U14" s="66">
        <f t="shared" si="24"/>
        <v>0</v>
      </c>
      <c r="V14" s="66">
        <f t="shared" si="24"/>
        <v>1</v>
      </c>
      <c r="W14" s="66">
        <f t="shared" si="24"/>
        <v>3.3000000000000002E-2</v>
      </c>
      <c r="X14" s="66">
        <f t="shared" si="24"/>
        <v>1</v>
      </c>
      <c r="Y14" s="66">
        <f t="shared" si="24"/>
        <v>1</v>
      </c>
      <c r="Z14" s="66">
        <f t="shared" si="24"/>
        <v>0.09</v>
      </c>
      <c r="AA14" s="66">
        <f t="shared" si="24"/>
        <v>4.2500000000000003E-2</v>
      </c>
      <c r="AB14" s="66">
        <f t="shared" si="24"/>
        <v>3.3000000000000002E-2</v>
      </c>
      <c r="AC14" s="66"/>
    </row>
    <row r="15" spans="1:29">
      <c r="A15" s="68" t="s">
        <v>62</v>
      </c>
      <c r="B15" s="69"/>
      <c r="C15" s="80"/>
      <c r="D15" s="76">
        <v>1</v>
      </c>
      <c r="E15" s="76">
        <v>1</v>
      </c>
      <c r="F15" s="76">
        <v>1</v>
      </c>
      <c r="G15" s="76">
        <v>1</v>
      </c>
      <c r="H15" s="76">
        <v>1</v>
      </c>
      <c r="I15" s="76">
        <v>1</v>
      </c>
      <c r="J15" s="76">
        <v>1</v>
      </c>
      <c r="K15" s="76">
        <v>1</v>
      </c>
      <c r="L15" s="76">
        <v>1</v>
      </c>
      <c r="M15" s="76">
        <v>1</v>
      </c>
      <c r="Q15" s="64">
        <v>13</v>
      </c>
      <c r="R15" s="66">
        <f t="shared" ref="R15:R17" si="25">R14</f>
        <v>0.04</v>
      </c>
      <c r="S15" s="66">
        <f t="shared" ref="S15:S17" si="26">S14</f>
        <v>0</v>
      </c>
      <c r="T15" s="66">
        <f t="shared" ref="T15:T17" si="27">T14</f>
        <v>0.04</v>
      </c>
      <c r="U15" s="66">
        <f t="shared" ref="U15:U17" si="28">U14</f>
        <v>0</v>
      </c>
      <c r="V15" s="66">
        <f t="shared" ref="V15:V17" si="29">V14</f>
        <v>1</v>
      </c>
      <c r="W15" s="66">
        <f t="shared" ref="W15:W17" si="30">W14</f>
        <v>3.3000000000000002E-2</v>
      </c>
      <c r="X15" s="66">
        <f t="shared" ref="X15:X17" si="31">X14</f>
        <v>1</v>
      </c>
      <c r="Y15" s="66">
        <f t="shared" ref="Y15:Y17" si="32">Y14</f>
        <v>1</v>
      </c>
      <c r="Z15" s="66">
        <f t="shared" ref="Z15:Z17" si="33">Z14</f>
        <v>0.09</v>
      </c>
      <c r="AA15" s="66">
        <f t="shared" ref="AA15:AA17" si="34">AA14</f>
        <v>4.2500000000000003E-2</v>
      </c>
      <c r="AB15" s="66">
        <f t="shared" ref="AB15:AB17" si="35">AB14</f>
        <v>3.3000000000000002E-2</v>
      </c>
      <c r="AC15" s="66"/>
    </row>
    <row r="16" spans="1:29">
      <c r="A16" s="70"/>
      <c r="B16" s="71"/>
      <c r="C16" s="79"/>
      <c r="D16" s="71"/>
      <c r="E16" s="71"/>
      <c r="F16" s="71"/>
      <c r="G16" s="71"/>
      <c r="H16" s="71"/>
      <c r="I16" s="71"/>
      <c r="J16" s="71"/>
      <c r="K16" s="71"/>
      <c r="L16" s="71"/>
      <c r="M16" s="71"/>
      <c r="Q16" s="64">
        <v>14</v>
      </c>
      <c r="R16" s="66">
        <f t="shared" si="25"/>
        <v>0.04</v>
      </c>
      <c r="S16" s="66">
        <f t="shared" si="26"/>
        <v>0</v>
      </c>
      <c r="T16" s="66">
        <f t="shared" si="27"/>
        <v>0.04</v>
      </c>
      <c r="U16" s="66">
        <f t="shared" si="28"/>
        <v>0</v>
      </c>
      <c r="V16" s="66">
        <f t="shared" si="29"/>
        <v>1</v>
      </c>
      <c r="W16" s="66">
        <f t="shared" si="30"/>
        <v>3.3000000000000002E-2</v>
      </c>
      <c r="X16" s="66">
        <f t="shared" si="31"/>
        <v>1</v>
      </c>
      <c r="Y16" s="66">
        <f t="shared" si="32"/>
        <v>1</v>
      </c>
      <c r="Z16" s="66">
        <f t="shared" si="33"/>
        <v>0.09</v>
      </c>
      <c r="AA16" s="66">
        <f t="shared" si="34"/>
        <v>4.2500000000000003E-2</v>
      </c>
      <c r="AB16" s="66">
        <f t="shared" si="35"/>
        <v>3.3000000000000002E-2</v>
      </c>
      <c r="AC16" s="66"/>
    </row>
    <row r="17" spans="1:29">
      <c r="A17" s="68" t="s">
        <v>25</v>
      </c>
      <c r="B17" s="69"/>
      <c r="C17" s="75">
        <v>400000000</v>
      </c>
      <c r="D17" s="71"/>
      <c r="E17" s="71"/>
      <c r="F17" s="71"/>
      <c r="G17" s="71"/>
      <c r="H17" s="71"/>
      <c r="I17" s="71"/>
      <c r="J17" s="71"/>
      <c r="K17" s="71"/>
      <c r="L17" s="71"/>
      <c r="M17" s="71"/>
      <c r="Q17" s="64">
        <v>15</v>
      </c>
      <c r="R17" s="66">
        <f t="shared" si="25"/>
        <v>0.04</v>
      </c>
      <c r="S17" s="66">
        <f t="shared" si="26"/>
        <v>0</v>
      </c>
      <c r="T17" s="66">
        <f t="shared" si="27"/>
        <v>0.04</v>
      </c>
      <c r="U17" s="66">
        <f t="shared" si="28"/>
        <v>0</v>
      </c>
      <c r="V17" s="66">
        <f t="shared" si="29"/>
        <v>1</v>
      </c>
      <c r="W17" s="66">
        <f t="shared" si="30"/>
        <v>3.3000000000000002E-2</v>
      </c>
      <c r="X17" s="66">
        <f t="shared" si="31"/>
        <v>1</v>
      </c>
      <c r="Y17" s="66">
        <f t="shared" si="32"/>
        <v>1</v>
      </c>
      <c r="Z17" s="66">
        <f t="shared" si="33"/>
        <v>0.09</v>
      </c>
      <c r="AA17" s="66">
        <f t="shared" si="34"/>
        <v>4.2500000000000003E-2</v>
      </c>
      <c r="AB17" s="66">
        <f t="shared" si="35"/>
        <v>3.3000000000000002E-2</v>
      </c>
      <c r="AC17" s="66"/>
    </row>
    <row r="18" spans="1:29">
      <c r="A18" s="68" t="s">
        <v>68</v>
      </c>
      <c r="B18" s="69"/>
      <c r="C18" s="80"/>
      <c r="D18" s="77">
        <v>0.09</v>
      </c>
      <c r="E18" s="77">
        <v>0.09</v>
      </c>
      <c r="F18" s="77">
        <v>0.09</v>
      </c>
      <c r="G18" s="77">
        <v>0.09</v>
      </c>
      <c r="H18" s="77">
        <v>0.09</v>
      </c>
      <c r="I18" s="77">
        <v>0.09</v>
      </c>
      <c r="J18" s="77">
        <v>0.09</v>
      </c>
      <c r="K18" s="77">
        <v>0.09</v>
      </c>
      <c r="L18" s="77">
        <v>0.09</v>
      </c>
      <c r="M18" s="77">
        <v>0.09</v>
      </c>
      <c r="Q18" s="64">
        <v>16</v>
      </c>
      <c r="R18" s="66">
        <f>G7</f>
        <v>0.04</v>
      </c>
      <c r="S18" s="66">
        <f>G8</f>
        <v>0</v>
      </c>
      <c r="T18" s="66">
        <f>G9</f>
        <v>0.04</v>
      </c>
      <c r="U18" s="66">
        <f>G10</f>
        <v>0</v>
      </c>
      <c r="V18" s="66">
        <f>G12</f>
        <v>1</v>
      </c>
      <c r="W18" s="66">
        <f>G13</f>
        <v>3.3000000000000002E-2</v>
      </c>
      <c r="X18" s="66">
        <f>G14</f>
        <v>1</v>
      </c>
      <c r="Y18" s="66">
        <f>G15</f>
        <v>1</v>
      </c>
      <c r="Z18" s="66">
        <f>G18</f>
        <v>0.09</v>
      </c>
      <c r="AA18" s="66">
        <f>G19</f>
        <v>4.2500000000000003E-2</v>
      </c>
      <c r="AB18" s="66">
        <f>G21</f>
        <v>3.3000000000000002E-2</v>
      </c>
      <c r="AC18" s="66"/>
    </row>
    <row r="19" spans="1:29">
      <c r="A19" s="68" t="s">
        <v>69</v>
      </c>
      <c r="B19" s="69"/>
      <c r="C19" s="80"/>
      <c r="D19" s="76">
        <v>4.2500000000000003E-2</v>
      </c>
      <c r="E19" s="76">
        <v>4.2500000000000003E-2</v>
      </c>
      <c r="F19" s="76">
        <v>4.2500000000000003E-2</v>
      </c>
      <c r="G19" s="76">
        <v>4.2500000000000003E-2</v>
      </c>
      <c r="H19" s="76">
        <v>4.2500000000000003E-2</v>
      </c>
      <c r="I19" s="76">
        <v>4.2500000000000003E-2</v>
      </c>
      <c r="J19" s="76">
        <v>4.2500000000000003E-2</v>
      </c>
      <c r="K19" s="76">
        <v>4.2500000000000003E-2</v>
      </c>
      <c r="L19" s="76">
        <v>4.2500000000000003E-2</v>
      </c>
      <c r="M19" s="76">
        <v>4.2500000000000003E-2</v>
      </c>
      <c r="Q19" s="64">
        <v>17</v>
      </c>
      <c r="R19" s="66">
        <f>R18</f>
        <v>0.04</v>
      </c>
      <c r="S19" s="66">
        <f t="shared" ref="S19:AB19" si="36">S18</f>
        <v>0</v>
      </c>
      <c r="T19" s="66">
        <f t="shared" si="36"/>
        <v>0.04</v>
      </c>
      <c r="U19" s="66">
        <f t="shared" si="36"/>
        <v>0</v>
      </c>
      <c r="V19" s="66">
        <f t="shared" si="36"/>
        <v>1</v>
      </c>
      <c r="W19" s="66">
        <f t="shared" si="36"/>
        <v>3.3000000000000002E-2</v>
      </c>
      <c r="X19" s="66">
        <f t="shared" si="36"/>
        <v>1</v>
      </c>
      <c r="Y19" s="66">
        <f t="shared" si="36"/>
        <v>1</v>
      </c>
      <c r="Z19" s="66">
        <f t="shared" si="36"/>
        <v>0.09</v>
      </c>
      <c r="AA19" s="66">
        <f t="shared" si="36"/>
        <v>4.2500000000000003E-2</v>
      </c>
      <c r="AB19" s="66">
        <f t="shared" si="36"/>
        <v>3.3000000000000002E-2</v>
      </c>
      <c r="AC19" s="66"/>
    </row>
    <row r="20" spans="1:29">
      <c r="A20" s="70"/>
      <c r="B20" s="71"/>
      <c r="C20" s="79"/>
      <c r="D20" s="71"/>
      <c r="E20" s="71"/>
      <c r="F20" s="71"/>
      <c r="G20" s="71"/>
      <c r="H20" s="71"/>
      <c r="I20" s="71"/>
      <c r="J20" s="71"/>
      <c r="K20" s="71"/>
      <c r="L20" s="71"/>
      <c r="M20" s="71"/>
      <c r="Q20" s="64">
        <v>18</v>
      </c>
      <c r="R20" s="66">
        <f t="shared" ref="R20:R22" si="37">R19</f>
        <v>0.04</v>
      </c>
      <c r="S20" s="66">
        <f t="shared" ref="S20:S22" si="38">S19</f>
        <v>0</v>
      </c>
      <c r="T20" s="66">
        <f t="shared" ref="T20:T22" si="39">T19</f>
        <v>0.04</v>
      </c>
      <c r="U20" s="66">
        <f t="shared" ref="U20:U22" si="40">U19</f>
        <v>0</v>
      </c>
      <c r="V20" s="66">
        <f t="shared" ref="V20:V22" si="41">V19</f>
        <v>1</v>
      </c>
      <c r="W20" s="66">
        <f t="shared" ref="W20:W22" si="42">W19</f>
        <v>3.3000000000000002E-2</v>
      </c>
      <c r="X20" s="66">
        <f t="shared" ref="X20:X22" si="43">X19</f>
        <v>1</v>
      </c>
      <c r="Y20" s="66">
        <f t="shared" ref="Y20:Y22" si="44">Y19</f>
        <v>1</v>
      </c>
      <c r="Z20" s="66">
        <f t="shared" ref="Z20:Z22" si="45">Z19</f>
        <v>0.09</v>
      </c>
      <c r="AA20" s="66">
        <f t="shared" ref="AA20:AA22" si="46">AA19</f>
        <v>4.2500000000000003E-2</v>
      </c>
      <c r="AB20" s="66">
        <f t="shared" ref="AB20:AB22" si="47">AB19</f>
        <v>3.3000000000000002E-2</v>
      </c>
      <c r="AC20" s="66"/>
    </row>
    <row r="21" spans="1:29">
      <c r="A21" s="68" t="s">
        <v>9</v>
      </c>
      <c r="B21" s="69"/>
      <c r="C21" s="80"/>
      <c r="D21" s="77">
        <v>3.3000000000000002E-2</v>
      </c>
      <c r="E21" s="77">
        <v>3.3000000000000002E-2</v>
      </c>
      <c r="F21" s="77">
        <v>3.3000000000000002E-2</v>
      </c>
      <c r="G21" s="77">
        <v>3.3000000000000002E-2</v>
      </c>
      <c r="H21" s="77">
        <v>3.3000000000000002E-2</v>
      </c>
      <c r="I21" s="77">
        <v>3.3000000000000002E-2</v>
      </c>
      <c r="J21" s="77">
        <v>3.3000000000000002E-2</v>
      </c>
      <c r="K21" s="77">
        <v>3.3000000000000002E-2</v>
      </c>
      <c r="L21" s="77">
        <v>3.3000000000000002E-2</v>
      </c>
      <c r="M21" s="77">
        <v>3.3000000000000002E-2</v>
      </c>
      <c r="Q21" s="64">
        <v>19</v>
      </c>
      <c r="R21" s="66">
        <f t="shared" si="37"/>
        <v>0.04</v>
      </c>
      <c r="S21" s="66">
        <f t="shared" si="38"/>
        <v>0</v>
      </c>
      <c r="T21" s="66">
        <f t="shared" si="39"/>
        <v>0.04</v>
      </c>
      <c r="U21" s="66">
        <f t="shared" si="40"/>
        <v>0</v>
      </c>
      <c r="V21" s="66">
        <f t="shared" si="41"/>
        <v>1</v>
      </c>
      <c r="W21" s="66">
        <f t="shared" si="42"/>
        <v>3.3000000000000002E-2</v>
      </c>
      <c r="X21" s="66">
        <f t="shared" si="43"/>
        <v>1</v>
      </c>
      <c r="Y21" s="66">
        <f t="shared" si="44"/>
        <v>1</v>
      </c>
      <c r="Z21" s="66">
        <f t="shared" si="45"/>
        <v>0.09</v>
      </c>
      <c r="AA21" s="66">
        <f t="shared" si="46"/>
        <v>4.2500000000000003E-2</v>
      </c>
      <c r="AB21" s="66">
        <f t="shared" si="47"/>
        <v>3.3000000000000002E-2</v>
      </c>
      <c r="AC21" s="66"/>
    </row>
    <row r="22" spans="1:29" ht="16.5" thickBot="1">
      <c r="A22" s="69" t="s">
        <v>46</v>
      </c>
      <c r="B22" s="69"/>
      <c r="C22" s="96">
        <v>0.06</v>
      </c>
      <c r="D22" s="71"/>
      <c r="E22" s="71"/>
      <c r="F22" s="71"/>
      <c r="G22" s="71"/>
      <c r="H22" s="71"/>
      <c r="I22" s="71"/>
      <c r="J22" s="71"/>
      <c r="K22" s="71"/>
      <c r="L22" s="71"/>
      <c r="M22" s="71"/>
      <c r="Q22" s="64">
        <v>20</v>
      </c>
      <c r="R22" s="66">
        <f t="shared" si="37"/>
        <v>0.04</v>
      </c>
      <c r="S22" s="66">
        <f t="shared" si="38"/>
        <v>0</v>
      </c>
      <c r="T22" s="66">
        <f t="shared" si="39"/>
        <v>0.04</v>
      </c>
      <c r="U22" s="66">
        <f t="shared" si="40"/>
        <v>0</v>
      </c>
      <c r="V22" s="66">
        <f t="shared" si="41"/>
        <v>1</v>
      </c>
      <c r="W22" s="66">
        <f t="shared" si="42"/>
        <v>3.3000000000000002E-2</v>
      </c>
      <c r="X22" s="66">
        <f t="shared" si="43"/>
        <v>1</v>
      </c>
      <c r="Y22" s="66">
        <f t="shared" si="44"/>
        <v>1</v>
      </c>
      <c r="Z22" s="66">
        <f t="shared" si="45"/>
        <v>0.09</v>
      </c>
      <c r="AA22" s="66">
        <f t="shared" si="46"/>
        <v>4.2500000000000003E-2</v>
      </c>
      <c r="AB22" s="66">
        <f t="shared" si="47"/>
        <v>3.3000000000000002E-2</v>
      </c>
      <c r="AC22" s="66"/>
    </row>
    <row r="23" spans="1:29" ht="60" customHeight="1">
      <c r="A23" s="97" t="s">
        <v>86</v>
      </c>
      <c r="B23" s="98"/>
      <c r="C23" s="99" t="s">
        <v>87</v>
      </c>
      <c r="D23" s="100" t="s">
        <v>89</v>
      </c>
      <c r="E23" s="101" t="s">
        <v>88</v>
      </c>
      <c r="F23" s="81"/>
      <c r="G23" s="81"/>
      <c r="H23" s="81"/>
      <c r="I23" s="81"/>
      <c r="J23" s="81"/>
      <c r="K23" s="81"/>
      <c r="L23" s="81"/>
      <c r="Q23" s="64">
        <v>21</v>
      </c>
      <c r="R23" s="66">
        <f>H7</f>
        <v>0.04</v>
      </c>
      <c r="S23" s="66">
        <f>H8</f>
        <v>0</v>
      </c>
      <c r="T23" s="66">
        <f>H9</f>
        <v>0.04</v>
      </c>
      <c r="U23" s="66">
        <f>H10</f>
        <v>0</v>
      </c>
      <c r="V23" s="66">
        <f>H12</f>
        <v>1</v>
      </c>
      <c r="W23" s="66">
        <f>H13</f>
        <v>3.3000000000000002E-2</v>
      </c>
      <c r="X23" s="66">
        <f>H14</f>
        <v>1</v>
      </c>
      <c r="Y23" s="66">
        <f>H15</f>
        <v>1</v>
      </c>
      <c r="Z23" s="66">
        <f>H18</f>
        <v>0.09</v>
      </c>
      <c r="AA23" s="66">
        <f>H19</f>
        <v>4.2500000000000003E-2</v>
      </c>
      <c r="AB23" s="66">
        <f>H21</f>
        <v>3.3000000000000002E-2</v>
      </c>
      <c r="AC23" s="66"/>
    </row>
    <row r="24" spans="1:29">
      <c r="A24" s="102" t="s">
        <v>77</v>
      </c>
      <c r="B24" s="69"/>
      <c r="C24" s="86">
        <f>Calculations!B21/1000000</f>
        <v>4071.5668827076306</v>
      </c>
      <c r="D24" s="88">
        <f>Calculations!U53/1000000</f>
        <v>1674.4124526639823</v>
      </c>
      <c r="E24" s="103">
        <f>Calculations!AC53/1000000</f>
        <v>13549.018098473069</v>
      </c>
      <c r="F24" s="81"/>
      <c r="G24" s="81"/>
      <c r="H24" s="81"/>
      <c r="I24" s="81"/>
      <c r="J24" s="81"/>
      <c r="K24" s="81"/>
      <c r="L24" s="81"/>
      <c r="Q24" s="64">
        <v>22</v>
      </c>
      <c r="R24" s="66">
        <f>R23</f>
        <v>0.04</v>
      </c>
      <c r="S24" s="66">
        <f t="shared" ref="S24:AB24" si="48">S23</f>
        <v>0</v>
      </c>
      <c r="T24" s="66">
        <f t="shared" si="48"/>
        <v>0.04</v>
      </c>
      <c r="U24" s="66">
        <f t="shared" si="48"/>
        <v>0</v>
      </c>
      <c r="V24" s="66">
        <f t="shared" si="48"/>
        <v>1</v>
      </c>
      <c r="W24" s="66">
        <f t="shared" si="48"/>
        <v>3.3000000000000002E-2</v>
      </c>
      <c r="X24" s="66">
        <f t="shared" si="48"/>
        <v>1</v>
      </c>
      <c r="Y24" s="66">
        <f t="shared" si="48"/>
        <v>1</v>
      </c>
      <c r="Z24" s="66">
        <f t="shared" si="48"/>
        <v>0.09</v>
      </c>
      <c r="AA24" s="66">
        <f t="shared" si="48"/>
        <v>4.2500000000000003E-2</v>
      </c>
      <c r="AB24" s="66">
        <f t="shared" si="48"/>
        <v>3.3000000000000002E-2</v>
      </c>
      <c r="AC24" s="66"/>
    </row>
    <row r="25" spans="1:29">
      <c r="A25" s="102" t="s">
        <v>78</v>
      </c>
      <c r="B25" s="69"/>
      <c r="C25" s="86">
        <f>Calculations!B22/1000000</f>
        <v>2195.1490759764824</v>
      </c>
      <c r="D25" s="88">
        <v>0</v>
      </c>
      <c r="E25" s="103">
        <f>Calculations!AA53/1000000</f>
        <v>11874.605645809084</v>
      </c>
      <c r="F25" s="81"/>
      <c r="G25" s="81"/>
      <c r="H25" s="81"/>
      <c r="I25" s="81"/>
      <c r="J25" s="81"/>
      <c r="K25" s="81"/>
      <c r="L25" s="81"/>
      <c r="Q25" s="64">
        <v>23</v>
      </c>
      <c r="R25" s="66">
        <f t="shared" ref="R25:R27" si="49">R24</f>
        <v>0.04</v>
      </c>
      <c r="S25" s="66">
        <f t="shared" ref="S25:S27" si="50">S24</f>
        <v>0</v>
      </c>
      <c r="T25" s="66">
        <f t="shared" ref="T25:T27" si="51">T24</f>
        <v>0.04</v>
      </c>
      <c r="U25" s="66">
        <f t="shared" ref="U25:U27" si="52">U24</f>
        <v>0</v>
      </c>
      <c r="V25" s="66">
        <f t="shared" ref="V25:V27" si="53">V24</f>
        <v>1</v>
      </c>
      <c r="W25" s="66">
        <f t="shared" ref="W25:W27" si="54">W24</f>
        <v>3.3000000000000002E-2</v>
      </c>
      <c r="X25" s="66">
        <f t="shared" ref="X25:X27" si="55">X24</f>
        <v>1</v>
      </c>
      <c r="Y25" s="66">
        <f t="shared" ref="Y25:Y27" si="56">Y24</f>
        <v>1</v>
      </c>
      <c r="Z25" s="66">
        <f t="shared" ref="Z25:Z27" si="57">Z24</f>
        <v>0.09</v>
      </c>
      <c r="AA25" s="66">
        <f t="shared" ref="AA25:AA27" si="58">AA24</f>
        <v>4.2500000000000003E-2</v>
      </c>
      <c r="AB25" s="66">
        <f t="shared" ref="AB25:AB27" si="59">AB24</f>
        <v>3.3000000000000002E-2</v>
      </c>
      <c r="AC25" s="66"/>
    </row>
    <row r="26" spans="1:29" ht="16.5" thickBot="1">
      <c r="A26" s="104" t="s">
        <v>85</v>
      </c>
      <c r="B26" s="105"/>
      <c r="C26" s="106">
        <f>Calculations!L53/1000000</f>
        <v>3285.0861582120929</v>
      </c>
      <c r="D26" s="107">
        <f>Calculations!W53/1000000</f>
        <v>3546.7674848062629</v>
      </c>
      <c r="E26" s="108">
        <f>Calculations!Y53/1000000</f>
        <v>1643.1033357347037</v>
      </c>
      <c r="F26" s="81"/>
      <c r="G26" s="81"/>
      <c r="H26" s="81"/>
      <c r="I26" s="81"/>
      <c r="J26" s="81"/>
      <c r="K26" s="81"/>
      <c r="L26" s="81"/>
      <c r="Q26" s="64">
        <v>24</v>
      </c>
      <c r="R26" s="66">
        <f t="shared" si="49"/>
        <v>0.04</v>
      </c>
      <c r="S26" s="66">
        <f t="shared" si="50"/>
        <v>0</v>
      </c>
      <c r="T26" s="66">
        <f t="shared" si="51"/>
        <v>0.04</v>
      </c>
      <c r="U26" s="66">
        <f t="shared" si="52"/>
        <v>0</v>
      </c>
      <c r="V26" s="66">
        <f t="shared" si="53"/>
        <v>1</v>
      </c>
      <c r="W26" s="66">
        <f t="shared" si="54"/>
        <v>3.3000000000000002E-2</v>
      </c>
      <c r="X26" s="66">
        <f t="shared" si="55"/>
        <v>1</v>
      </c>
      <c r="Y26" s="66">
        <f t="shared" si="56"/>
        <v>1</v>
      </c>
      <c r="Z26" s="66">
        <f t="shared" si="57"/>
        <v>0.09</v>
      </c>
      <c r="AA26" s="66">
        <f t="shared" si="58"/>
        <v>4.2500000000000003E-2</v>
      </c>
      <c r="AB26" s="66">
        <f t="shared" si="59"/>
        <v>3.3000000000000002E-2</v>
      </c>
      <c r="AC26" s="66"/>
    </row>
    <row r="27" spans="1:29">
      <c r="A27" s="72" t="s">
        <v>51</v>
      </c>
      <c r="B27" s="72"/>
      <c r="C27" s="83">
        <f>'Operator NPV'!F53</f>
        <v>497429969.41747183</v>
      </c>
      <c r="D27" s="81"/>
      <c r="E27" s="81"/>
      <c r="F27" s="81"/>
      <c r="G27" s="81"/>
      <c r="H27" s="81"/>
      <c r="I27" s="81"/>
      <c r="J27" s="81"/>
      <c r="K27" s="81"/>
      <c r="L27" s="81"/>
      <c r="Q27" s="64">
        <v>25</v>
      </c>
      <c r="R27" s="66">
        <f t="shared" si="49"/>
        <v>0.04</v>
      </c>
      <c r="S27" s="66">
        <f t="shared" si="50"/>
        <v>0</v>
      </c>
      <c r="T27" s="66">
        <f t="shared" si="51"/>
        <v>0.04</v>
      </c>
      <c r="U27" s="66">
        <f t="shared" si="52"/>
        <v>0</v>
      </c>
      <c r="V27" s="66">
        <f t="shared" si="53"/>
        <v>1</v>
      </c>
      <c r="W27" s="66">
        <f t="shared" si="54"/>
        <v>3.3000000000000002E-2</v>
      </c>
      <c r="X27" s="66">
        <f t="shared" si="55"/>
        <v>1</v>
      </c>
      <c r="Y27" s="66">
        <f t="shared" si="56"/>
        <v>1</v>
      </c>
      <c r="Z27" s="66">
        <f t="shared" si="57"/>
        <v>0.09</v>
      </c>
      <c r="AA27" s="66">
        <f t="shared" si="58"/>
        <v>4.2500000000000003E-2</v>
      </c>
      <c r="AB27" s="66">
        <f t="shared" si="59"/>
        <v>3.3000000000000002E-2</v>
      </c>
      <c r="AC27" s="66"/>
    </row>
    <row r="28" spans="1:29">
      <c r="A28" s="72" t="s">
        <v>52</v>
      </c>
      <c r="B28" s="72"/>
      <c r="C28" s="84">
        <f>C17</f>
        <v>400000000</v>
      </c>
      <c r="D28" s="81"/>
      <c r="E28" s="81"/>
      <c r="F28" s="81"/>
      <c r="G28" s="81"/>
      <c r="H28" s="81"/>
      <c r="I28" s="81"/>
      <c r="J28" s="81"/>
      <c r="K28" s="81"/>
      <c r="L28" s="81"/>
      <c r="Q28" s="64">
        <v>26</v>
      </c>
      <c r="R28" s="66">
        <f>I7</f>
        <v>0.04</v>
      </c>
      <c r="S28" s="66">
        <f>I8</f>
        <v>0</v>
      </c>
      <c r="T28" s="66">
        <f>I9</f>
        <v>0.04</v>
      </c>
      <c r="U28" s="66">
        <f>I10</f>
        <v>0</v>
      </c>
      <c r="V28" s="66">
        <f>I12</f>
        <v>1</v>
      </c>
      <c r="W28" s="66">
        <f>I13</f>
        <v>3.3000000000000002E-2</v>
      </c>
      <c r="X28" s="66">
        <f>I14</f>
        <v>1</v>
      </c>
      <c r="Y28" s="66">
        <f>I15</f>
        <v>1</v>
      </c>
      <c r="Z28" s="66">
        <f>I18</f>
        <v>0.09</v>
      </c>
      <c r="AA28" s="66">
        <f>I19</f>
        <v>4.2500000000000003E-2</v>
      </c>
      <c r="AB28" s="66">
        <f>I21</f>
        <v>3.3000000000000002E-2</v>
      </c>
      <c r="AC28" s="66"/>
    </row>
    <row r="29" spans="1:29">
      <c r="A29" s="72" t="s">
        <v>56</v>
      </c>
      <c r="B29" s="72"/>
      <c r="C29" s="85">
        <v>30</v>
      </c>
      <c r="D29" s="81"/>
      <c r="E29" s="81"/>
      <c r="F29" s="81"/>
      <c r="G29" s="81"/>
      <c r="H29" s="81"/>
      <c r="I29" s="81"/>
      <c r="J29" s="81"/>
      <c r="K29" s="81"/>
      <c r="L29" s="81"/>
      <c r="Q29" s="64">
        <v>27</v>
      </c>
      <c r="R29" s="66">
        <f>R28</f>
        <v>0.04</v>
      </c>
      <c r="S29" s="66">
        <f t="shared" ref="S29:AB29" si="60">S28</f>
        <v>0</v>
      </c>
      <c r="T29" s="66">
        <f t="shared" si="60"/>
        <v>0.04</v>
      </c>
      <c r="U29" s="66">
        <f t="shared" si="60"/>
        <v>0</v>
      </c>
      <c r="V29" s="66">
        <f t="shared" si="60"/>
        <v>1</v>
      </c>
      <c r="W29" s="66">
        <f t="shared" si="60"/>
        <v>3.3000000000000002E-2</v>
      </c>
      <c r="X29" s="66">
        <f t="shared" si="60"/>
        <v>1</v>
      </c>
      <c r="Y29" s="66">
        <f t="shared" si="60"/>
        <v>1</v>
      </c>
      <c r="Z29" s="66">
        <f t="shared" si="60"/>
        <v>0.09</v>
      </c>
      <c r="AA29" s="66">
        <f t="shared" si="60"/>
        <v>4.2500000000000003E-2</v>
      </c>
      <c r="AB29" s="66">
        <f t="shared" si="60"/>
        <v>3.3000000000000002E-2</v>
      </c>
      <c r="AC29" s="66"/>
    </row>
    <row r="30" spans="1:29">
      <c r="A30" s="90"/>
      <c r="B30" s="91"/>
      <c r="C30" s="92"/>
      <c r="Q30" s="64">
        <v>28</v>
      </c>
      <c r="R30" s="66">
        <f t="shared" ref="R30:R32" si="61">R29</f>
        <v>0.04</v>
      </c>
      <c r="S30" s="66">
        <f t="shared" ref="S30:S32" si="62">S29</f>
        <v>0</v>
      </c>
      <c r="T30" s="66">
        <f t="shared" ref="T30:T32" si="63">T29</f>
        <v>0.04</v>
      </c>
      <c r="U30" s="66">
        <f t="shared" ref="U30:U32" si="64">U29</f>
        <v>0</v>
      </c>
      <c r="V30" s="66">
        <f t="shared" ref="V30:V32" si="65">V29</f>
        <v>1</v>
      </c>
      <c r="W30" s="66">
        <f t="shared" ref="W30:W32" si="66">W29</f>
        <v>3.3000000000000002E-2</v>
      </c>
      <c r="X30" s="66">
        <f t="shared" ref="X30:X32" si="67">X29</f>
        <v>1</v>
      </c>
      <c r="Y30" s="66">
        <f t="shared" ref="Y30:Y32" si="68">Y29</f>
        <v>1</v>
      </c>
      <c r="Z30" s="66">
        <f t="shared" ref="Z30:Z32" si="69">Z29</f>
        <v>0.09</v>
      </c>
      <c r="AA30" s="66">
        <f t="shared" ref="AA30:AA32" si="70">AA29</f>
        <v>4.2500000000000003E-2</v>
      </c>
      <c r="AB30" s="66">
        <f t="shared" ref="AB30:AB32" si="71">AB29</f>
        <v>3.3000000000000002E-2</v>
      </c>
      <c r="AC30" s="66"/>
    </row>
    <row r="31" spans="1:29">
      <c r="A31" s="90"/>
      <c r="B31" s="91"/>
      <c r="C31" s="84"/>
      <c r="Q31" s="64">
        <v>29</v>
      </c>
      <c r="R31" s="66">
        <f t="shared" si="61"/>
        <v>0.04</v>
      </c>
      <c r="S31" s="66">
        <f t="shared" si="62"/>
        <v>0</v>
      </c>
      <c r="T31" s="66">
        <f t="shared" si="63"/>
        <v>0.04</v>
      </c>
      <c r="U31" s="66">
        <f t="shared" si="64"/>
        <v>0</v>
      </c>
      <c r="V31" s="66">
        <f t="shared" si="65"/>
        <v>1</v>
      </c>
      <c r="W31" s="66">
        <f t="shared" si="66"/>
        <v>3.3000000000000002E-2</v>
      </c>
      <c r="X31" s="66">
        <f t="shared" si="67"/>
        <v>1</v>
      </c>
      <c r="Y31" s="66">
        <f t="shared" si="68"/>
        <v>1</v>
      </c>
      <c r="Z31" s="66">
        <f t="shared" si="69"/>
        <v>0.09</v>
      </c>
      <c r="AA31" s="66">
        <f t="shared" si="70"/>
        <v>4.2500000000000003E-2</v>
      </c>
      <c r="AB31" s="66">
        <f t="shared" si="71"/>
        <v>3.3000000000000002E-2</v>
      </c>
      <c r="AC31" s="66"/>
    </row>
    <row r="32" spans="1:29">
      <c r="A32" s="90"/>
      <c r="B32" s="91"/>
      <c r="C32" s="93"/>
      <c r="Q32" s="64">
        <v>30</v>
      </c>
      <c r="R32" s="66">
        <f t="shared" si="61"/>
        <v>0.04</v>
      </c>
      <c r="S32" s="66">
        <f t="shared" si="62"/>
        <v>0</v>
      </c>
      <c r="T32" s="66">
        <f t="shared" si="63"/>
        <v>0.04</v>
      </c>
      <c r="U32" s="66">
        <f t="shared" si="64"/>
        <v>0</v>
      </c>
      <c r="V32" s="66">
        <f t="shared" si="65"/>
        <v>1</v>
      </c>
      <c r="W32" s="66">
        <f t="shared" si="66"/>
        <v>3.3000000000000002E-2</v>
      </c>
      <c r="X32" s="66">
        <f t="shared" si="67"/>
        <v>1</v>
      </c>
      <c r="Y32" s="66">
        <f t="shared" si="68"/>
        <v>1</v>
      </c>
      <c r="Z32" s="66">
        <f t="shared" si="69"/>
        <v>0.09</v>
      </c>
      <c r="AA32" s="66">
        <f t="shared" si="70"/>
        <v>4.2500000000000003E-2</v>
      </c>
      <c r="AB32" s="66">
        <f t="shared" si="71"/>
        <v>3.3000000000000002E-2</v>
      </c>
      <c r="AC32" s="66"/>
    </row>
    <row r="33" spans="1:29">
      <c r="A33" s="89"/>
      <c r="B33" s="91"/>
      <c r="C33" s="84"/>
      <c r="Q33" s="64">
        <v>31</v>
      </c>
      <c r="R33" s="66">
        <f>J7</f>
        <v>0.04</v>
      </c>
      <c r="S33" s="66">
        <f>J8</f>
        <v>0</v>
      </c>
      <c r="T33" s="66">
        <f>J9</f>
        <v>0.04</v>
      </c>
      <c r="U33" s="66">
        <f>J10</f>
        <v>0</v>
      </c>
      <c r="V33" s="66">
        <f>J12</f>
        <v>1</v>
      </c>
      <c r="W33" s="66">
        <f>J13</f>
        <v>3.3000000000000002E-2</v>
      </c>
      <c r="X33" s="66">
        <f>J14</f>
        <v>1</v>
      </c>
      <c r="Y33" s="66">
        <f>J15</f>
        <v>1</v>
      </c>
      <c r="Z33" s="66">
        <f>J18</f>
        <v>0.09</v>
      </c>
      <c r="AA33" s="66">
        <f>J19</f>
        <v>4.2500000000000003E-2</v>
      </c>
      <c r="AB33" s="66">
        <f>J21</f>
        <v>3.3000000000000002E-2</v>
      </c>
      <c r="AC33" s="66"/>
    </row>
    <row r="34" spans="1:29">
      <c r="A34" s="91"/>
      <c r="B34" s="91"/>
      <c r="C34" s="94"/>
      <c r="Q34" s="64">
        <v>32</v>
      </c>
      <c r="R34" s="66">
        <f>R33</f>
        <v>0.04</v>
      </c>
      <c r="S34" s="66">
        <f t="shared" ref="S34:AB34" si="72">S33</f>
        <v>0</v>
      </c>
      <c r="T34" s="66">
        <f t="shared" si="72"/>
        <v>0.04</v>
      </c>
      <c r="U34" s="66">
        <f t="shared" si="72"/>
        <v>0</v>
      </c>
      <c r="V34" s="66">
        <f t="shared" si="72"/>
        <v>1</v>
      </c>
      <c r="W34" s="66">
        <f t="shared" si="72"/>
        <v>3.3000000000000002E-2</v>
      </c>
      <c r="X34" s="66">
        <f t="shared" si="72"/>
        <v>1</v>
      </c>
      <c r="Y34" s="66">
        <f t="shared" si="72"/>
        <v>1</v>
      </c>
      <c r="Z34" s="66">
        <f t="shared" si="72"/>
        <v>0.09</v>
      </c>
      <c r="AA34" s="66">
        <f t="shared" si="72"/>
        <v>4.2500000000000003E-2</v>
      </c>
      <c r="AB34" s="66">
        <f t="shared" si="72"/>
        <v>3.3000000000000002E-2</v>
      </c>
      <c r="AC34" s="66"/>
    </row>
    <row r="35" spans="1:29">
      <c r="A35" s="95"/>
      <c r="B35" s="91"/>
      <c r="C35" s="94"/>
      <c r="Q35" s="64">
        <v>33</v>
      </c>
      <c r="R35" s="66">
        <f t="shared" ref="R35:R37" si="73">R34</f>
        <v>0.04</v>
      </c>
      <c r="S35" s="66">
        <f t="shared" ref="S35:S37" si="74">S34</f>
        <v>0</v>
      </c>
      <c r="T35" s="66">
        <f t="shared" ref="T35:T37" si="75">T34</f>
        <v>0.04</v>
      </c>
      <c r="U35" s="66">
        <f t="shared" ref="U35:U37" si="76">U34</f>
        <v>0</v>
      </c>
      <c r="V35" s="66">
        <f t="shared" ref="V35:V37" si="77">V34</f>
        <v>1</v>
      </c>
      <c r="W35" s="66">
        <f t="shared" ref="W35:W37" si="78">W34</f>
        <v>3.3000000000000002E-2</v>
      </c>
      <c r="X35" s="66">
        <f t="shared" ref="X35:X37" si="79">X34</f>
        <v>1</v>
      </c>
      <c r="Y35" s="66">
        <f t="shared" ref="Y35:Y37" si="80">Y34</f>
        <v>1</v>
      </c>
      <c r="Z35" s="66">
        <f t="shared" ref="Z35:Z37" si="81">Z34</f>
        <v>0.09</v>
      </c>
      <c r="AA35" s="66">
        <f t="shared" ref="AA35:AA37" si="82">AA34</f>
        <v>4.2500000000000003E-2</v>
      </c>
      <c r="AB35" s="66">
        <f t="shared" ref="AB35:AB37" si="83">AB34</f>
        <v>3.3000000000000002E-2</v>
      </c>
      <c r="AC35" s="66"/>
    </row>
    <row r="36" spans="1:29">
      <c r="A36" s="90"/>
      <c r="B36" s="91"/>
      <c r="C36" s="84"/>
      <c r="Q36" s="64">
        <v>34</v>
      </c>
      <c r="R36" s="66">
        <f t="shared" si="73"/>
        <v>0.04</v>
      </c>
      <c r="S36" s="66">
        <f t="shared" si="74"/>
        <v>0</v>
      </c>
      <c r="T36" s="66">
        <f t="shared" si="75"/>
        <v>0.04</v>
      </c>
      <c r="U36" s="66">
        <f t="shared" si="76"/>
        <v>0</v>
      </c>
      <c r="V36" s="66">
        <f t="shared" si="77"/>
        <v>1</v>
      </c>
      <c r="W36" s="66">
        <f t="shared" si="78"/>
        <v>3.3000000000000002E-2</v>
      </c>
      <c r="X36" s="66">
        <f t="shared" si="79"/>
        <v>1</v>
      </c>
      <c r="Y36" s="66">
        <f t="shared" si="80"/>
        <v>1</v>
      </c>
      <c r="Z36" s="66">
        <f t="shared" si="81"/>
        <v>0.09</v>
      </c>
      <c r="AA36" s="66">
        <f t="shared" si="82"/>
        <v>4.2500000000000003E-2</v>
      </c>
      <c r="AB36" s="66">
        <f t="shared" si="83"/>
        <v>3.3000000000000002E-2</v>
      </c>
      <c r="AC36" s="66"/>
    </row>
    <row r="37" spans="1:29">
      <c r="A37" s="90"/>
      <c r="B37" s="91"/>
      <c r="C37" s="84"/>
      <c r="Q37" s="64">
        <v>35</v>
      </c>
      <c r="R37" s="66">
        <f t="shared" si="73"/>
        <v>0.04</v>
      </c>
      <c r="S37" s="66">
        <f t="shared" si="74"/>
        <v>0</v>
      </c>
      <c r="T37" s="66">
        <f t="shared" si="75"/>
        <v>0.04</v>
      </c>
      <c r="U37" s="66">
        <f t="shared" si="76"/>
        <v>0</v>
      </c>
      <c r="V37" s="66">
        <f t="shared" si="77"/>
        <v>1</v>
      </c>
      <c r="W37" s="66">
        <f t="shared" si="78"/>
        <v>3.3000000000000002E-2</v>
      </c>
      <c r="X37" s="66">
        <f t="shared" si="79"/>
        <v>1</v>
      </c>
      <c r="Y37" s="66">
        <f t="shared" si="80"/>
        <v>1</v>
      </c>
      <c r="Z37" s="66">
        <f t="shared" si="81"/>
        <v>0.09</v>
      </c>
      <c r="AA37" s="66">
        <f t="shared" si="82"/>
        <v>4.2500000000000003E-2</v>
      </c>
      <c r="AB37" s="66">
        <f t="shared" si="83"/>
        <v>3.3000000000000002E-2</v>
      </c>
      <c r="AC37" s="66"/>
    </row>
    <row r="38" spans="1:29">
      <c r="A38" s="89"/>
      <c r="B38" s="91"/>
      <c r="C38" s="84"/>
      <c r="Q38" s="64">
        <v>36</v>
      </c>
      <c r="R38" s="66">
        <f>K7</f>
        <v>0.04</v>
      </c>
      <c r="S38" s="66">
        <f>K8</f>
        <v>0</v>
      </c>
      <c r="T38" s="66">
        <f>K9</f>
        <v>0.04</v>
      </c>
      <c r="U38" s="66">
        <f>K10</f>
        <v>0</v>
      </c>
      <c r="V38" s="66">
        <f>K12</f>
        <v>1</v>
      </c>
      <c r="W38" s="66">
        <f>K13</f>
        <v>3.3000000000000002E-2</v>
      </c>
      <c r="X38" s="66">
        <f>K14</f>
        <v>1</v>
      </c>
      <c r="Y38" s="66">
        <f>K15</f>
        <v>1</v>
      </c>
      <c r="Z38" s="66">
        <f>K18</f>
        <v>0.09</v>
      </c>
      <c r="AA38" s="66">
        <f>K19</f>
        <v>4.2500000000000003E-2</v>
      </c>
      <c r="AB38" s="66">
        <f>K21</f>
        <v>3.3000000000000002E-2</v>
      </c>
      <c r="AC38" s="66"/>
    </row>
    <row r="39" spans="1:29">
      <c r="Q39" s="64">
        <v>37</v>
      </c>
      <c r="R39" s="66">
        <f>R38</f>
        <v>0.04</v>
      </c>
      <c r="S39" s="66">
        <f t="shared" ref="S39:AB39" si="84">S38</f>
        <v>0</v>
      </c>
      <c r="T39" s="66">
        <f t="shared" si="84"/>
        <v>0.04</v>
      </c>
      <c r="U39" s="66">
        <f t="shared" si="84"/>
        <v>0</v>
      </c>
      <c r="V39" s="66">
        <f t="shared" si="84"/>
        <v>1</v>
      </c>
      <c r="W39" s="66">
        <f t="shared" si="84"/>
        <v>3.3000000000000002E-2</v>
      </c>
      <c r="X39" s="66">
        <f t="shared" si="84"/>
        <v>1</v>
      </c>
      <c r="Y39" s="66">
        <f t="shared" si="84"/>
        <v>1</v>
      </c>
      <c r="Z39" s="66">
        <f t="shared" si="84"/>
        <v>0.09</v>
      </c>
      <c r="AA39" s="66">
        <f t="shared" si="84"/>
        <v>4.2500000000000003E-2</v>
      </c>
      <c r="AB39" s="66">
        <f t="shared" si="84"/>
        <v>3.3000000000000002E-2</v>
      </c>
      <c r="AC39" s="66"/>
    </row>
    <row r="40" spans="1:29">
      <c r="Q40" s="64">
        <v>38</v>
      </c>
      <c r="R40" s="66">
        <f t="shared" ref="R40:R42" si="85">R39</f>
        <v>0.04</v>
      </c>
      <c r="S40" s="66">
        <f t="shared" ref="S40:S42" si="86">S39</f>
        <v>0</v>
      </c>
      <c r="T40" s="66">
        <f t="shared" ref="T40:T42" si="87">T39</f>
        <v>0.04</v>
      </c>
      <c r="U40" s="66">
        <f t="shared" ref="U40:U42" si="88">U39</f>
        <v>0</v>
      </c>
      <c r="V40" s="66">
        <f t="shared" ref="V40:V42" si="89">V39</f>
        <v>1</v>
      </c>
      <c r="W40" s="66">
        <f t="shared" ref="W40:W42" si="90">W39</f>
        <v>3.3000000000000002E-2</v>
      </c>
      <c r="X40" s="66">
        <f t="shared" ref="X40:X42" si="91">X39</f>
        <v>1</v>
      </c>
      <c r="Y40" s="66">
        <f t="shared" ref="Y40:Y42" si="92">Y39</f>
        <v>1</v>
      </c>
      <c r="Z40" s="66">
        <f t="shared" ref="Z40:Z42" si="93">Z39</f>
        <v>0.09</v>
      </c>
      <c r="AA40" s="66">
        <f t="shared" ref="AA40:AA42" si="94">AA39</f>
        <v>4.2500000000000003E-2</v>
      </c>
      <c r="AB40" s="66">
        <f t="shared" ref="AB40:AB42" si="95">AB39</f>
        <v>3.3000000000000002E-2</v>
      </c>
      <c r="AC40" s="66"/>
    </row>
    <row r="41" spans="1:29">
      <c r="Q41" s="64">
        <v>39</v>
      </c>
      <c r="R41" s="66">
        <f t="shared" si="85"/>
        <v>0.04</v>
      </c>
      <c r="S41" s="66">
        <f t="shared" si="86"/>
        <v>0</v>
      </c>
      <c r="T41" s="66">
        <f t="shared" si="87"/>
        <v>0.04</v>
      </c>
      <c r="U41" s="66">
        <f t="shared" si="88"/>
        <v>0</v>
      </c>
      <c r="V41" s="66">
        <f t="shared" si="89"/>
        <v>1</v>
      </c>
      <c r="W41" s="66">
        <f t="shared" si="90"/>
        <v>3.3000000000000002E-2</v>
      </c>
      <c r="X41" s="66">
        <f t="shared" si="91"/>
        <v>1</v>
      </c>
      <c r="Y41" s="66">
        <f t="shared" si="92"/>
        <v>1</v>
      </c>
      <c r="Z41" s="66">
        <f t="shared" si="93"/>
        <v>0.09</v>
      </c>
      <c r="AA41" s="66">
        <f t="shared" si="94"/>
        <v>4.2500000000000003E-2</v>
      </c>
      <c r="AB41" s="66">
        <f t="shared" si="95"/>
        <v>3.3000000000000002E-2</v>
      </c>
      <c r="AC41" s="66"/>
    </row>
    <row r="42" spans="1:29">
      <c r="Q42" s="64">
        <v>40</v>
      </c>
      <c r="R42" s="66">
        <f t="shared" si="85"/>
        <v>0.04</v>
      </c>
      <c r="S42" s="66">
        <f t="shared" si="86"/>
        <v>0</v>
      </c>
      <c r="T42" s="66">
        <f t="shared" si="87"/>
        <v>0.04</v>
      </c>
      <c r="U42" s="66">
        <f t="shared" si="88"/>
        <v>0</v>
      </c>
      <c r="V42" s="66">
        <f t="shared" si="89"/>
        <v>1</v>
      </c>
      <c r="W42" s="66">
        <f t="shared" si="90"/>
        <v>3.3000000000000002E-2</v>
      </c>
      <c r="X42" s="66">
        <f t="shared" si="91"/>
        <v>1</v>
      </c>
      <c r="Y42" s="66">
        <f t="shared" si="92"/>
        <v>1</v>
      </c>
      <c r="Z42" s="66">
        <f t="shared" si="93"/>
        <v>0.09</v>
      </c>
      <c r="AA42" s="66">
        <f t="shared" si="94"/>
        <v>4.2500000000000003E-2</v>
      </c>
      <c r="AB42" s="66">
        <f t="shared" si="95"/>
        <v>3.3000000000000002E-2</v>
      </c>
      <c r="AC42" s="66"/>
    </row>
    <row r="43" spans="1:29">
      <c r="Q43" s="64">
        <v>41</v>
      </c>
      <c r="R43" s="66">
        <f>L7</f>
        <v>0.04</v>
      </c>
      <c r="S43" s="66">
        <f>L8</f>
        <v>0</v>
      </c>
      <c r="T43" s="66">
        <f>L9</f>
        <v>0.04</v>
      </c>
      <c r="U43" s="66">
        <f>L10</f>
        <v>0</v>
      </c>
      <c r="V43" s="66">
        <f>L12</f>
        <v>1</v>
      </c>
      <c r="W43" s="66">
        <f>L13</f>
        <v>3.3000000000000002E-2</v>
      </c>
      <c r="X43" s="66">
        <f>L14</f>
        <v>1</v>
      </c>
      <c r="Y43" s="66">
        <f>L15</f>
        <v>1</v>
      </c>
      <c r="Z43" s="66">
        <f>L18</f>
        <v>0.09</v>
      </c>
      <c r="AA43" s="66">
        <f>L19</f>
        <v>4.2500000000000003E-2</v>
      </c>
      <c r="AB43" s="66">
        <f>L21</f>
        <v>3.3000000000000002E-2</v>
      </c>
      <c r="AC43" s="66"/>
    </row>
    <row r="44" spans="1:29">
      <c r="Q44" s="64">
        <v>42</v>
      </c>
      <c r="R44" s="66">
        <f>R43</f>
        <v>0.04</v>
      </c>
      <c r="S44" s="66">
        <f t="shared" ref="S44:AB44" si="96">S43</f>
        <v>0</v>
      </c>
      <c r="T44" s="66">
        <f t="shared" si="96"/>
        <v>0.04</v>
      </c>
      <c r="U44" s="66">
        <f t="shared" si="96"/>
        <v>0</v>
      </c>
      <c r="V44" s="66">
        <f t="shared" si="96"/>
        <v>1</v>
      </c>
      <c r="W44" s="66">
        <f t="shared" si="96"/>
        <v>3.3000000000000002E-2</v>
      </c>
      <c r="X44" s="66">
        <f t="shared" si="96"/>
        <v>1</v>
      </c>
      <c r="Y44" s="66">
        <f t="shared" si="96"/>
        <v>1</v>
      </c>
      <c r="Z44" s="66">
        <f t="shared" si="96"/>
        <v>0.09</v>
      </c>
      <c r="AA44" s="66">
        <f t="shared" si="96"/>
        <v>4.2500000000000003E-2</v>
      </c>
      <c r="AB44" s="66">
        <f t="shared" si="96"/>
        <v>3.3000000000000002E-2</v>
      </c>
      <c r="AC44" s="66"/>
    </row>
    <row r="45" spans="1:29">
      <c r="Q45" s="64">
        <v>43</v>
      </c>
      <c r="R45" s="66">
        <f t="shared" ref="R45:R47" si="97">R44</f>
        <v>0.04</v>
      </c>
      <c r="S45" s="66">
        <f t="shared" ref="S45:S47" si="98">S44</f>
        <v>0</v>
      </c>
      <c r="T45" s="66">
        <f t="shared" ref="T45:T47" si="99">T44</f>
        <v>0.04</v>
      </c>
      <c r="U45" s="66">
        <f t="shared" ref="U45:U47" si="100">U44</f>
        <v>0</v>
      </c>
      <c r="V45" s="66">
        <f t="shared" ref="V45:V47" si="101">V44</f>
        <v>1</v>
      </c>
      <c r="W45" s="66">
        <f t="shared" ref="W45:W47" si="102">W44</f>
        <v>3.3000000000000002E-2</v>
      </c>
      <c r="X45" s="66">
        <f t="shared" ref="X45:X47" si="103">X44</f>
        <v>1</v>
      </c>
      <c r="Y45" s="66">
        <f t="shared" ref="Y45:Y47" si="104">Y44</f>
        <v>1</v>
      </c>
      <c r="Z45" s="66">
        <f t="shared" ref="Z45:Z47" si="105">Z44</f>
        <v>0.09</v>
      </c>
      <c r="AA45" s="66">
        <f t="shared" ref="AA45:AA47" si="106">AA44</f>
        <v>4.2500000000000003E-2</v>
      </c>
      <c r="AB45" s="66">
        <f t="shared" ref="AB45:AB47" si="107">AB44</f>
        <v>3.3000000000000002E-2</v>
      </c>
      <c r="AC45" s="66"/>
    </row>
    <row r="46" spans="1:29">
      <c r="Q46" s="64">
        <v>44</v>
      </c>
      <c r="R46" s="66">
        <f t="shared" si="97"/>
        <v>0.04</v>
      </c>
      <c r="S46" s="66">
        <f t="shared" si="98"/>
        <v>0</v>
      </c>
      <c r="T46" s="66">
        <f t="shared" si="99"/>
        <v>0.04</v>
      </c>
      <c r="U46" s="66">
        <f t="shared" si="100"/>
        <v>0</v>
      </c>
      <c r="V46" s="66">
        <f t="shared" si="101"/>
        <v>1</v>
      </c>
      <c r="W46" s="66">
        <f t="shared" si="102"/>
        <v>3.3000000000000002E-2</v>
      </c>
      <c r="X46" s="66">
        <f t="shared" si="103"/>
        <v>1</v>
      </c>
      <c r="Y46" s="66">
        <f t="shared" si="104"/>
        <v>1</v>
      </c>
      <c r="Z46" s="66">
        <f t="shared" si="105"/>
        <v>0.09</v>
      </c>
      <c r="AA46" s="66">
        <f t="shared" si="106"/>
        <v>4.2500000000000003E-2</v>
      </c>
      <c r="AB46" s="66">
        <f t="shared" si="107"/>
        <v>3.3000000000000002E-2</v>
      </c>
      <c r="AC46" s="66"/>
    </row>
    <row r="47" spans="1:29">
      <c r="Q47" s="64">
        <v>45</v>
      </c>
      <c r="R47" s="66">
        <f t="shared" si="97"/>
        <v>0.04</v>
      </c>
      <c r="S47" s="66">
        <f t="shared" si="98"/>
        <v>0</v>
      </c>
      <c r="T47" s="66">
        <f t="shared" si="99"/>
        <v>0.04</v>
      </c>
      <c r="U47" s="66">
        <f t="shared" si="100"/>
        <v>0</v>
      </c>
      <c r="V47" s="66">
        <f t="shared" si="101"/>
        <v>1</v>
      </c>
      <c r="W47" s="66">
        <f t="shared" si="102"/>
        <v>3.3000000000000002E-2</v>
      </c>
      <c r="X47" s="66">
        <f t="shared" si="103"/>
        <v>1</v>
      </c>
      <c r="Y47" s="66">
        <f t="shared" si="104"/>
        <v>1</v>
      </c>
      <c r="Z47" s="66">
        <f t="shared" si="105"/>
        <v>0.09</v>
      </c>
      <c r="AA47" s="66">
        <f t="shared" si="106"/>
        <v>4.2500000000000003E-2</v>
      </c>
      <c r="AB47" s="66">
        <f t="shared" si="107"/>
        <v>3.3000000000000002E-2</v>
      </c>
      <c r="AC47" s="66"/>
    </row>
    <row r="48" spans="1:29">
      <c r="Q48" s="64">
        <v>46</v>
      </c>
      <c r="R48" s="66">
        <f>M7</f>
        <v>0.04</v>
      </c>
      <c r="S48" s="66">
        <f>M8</f>
        <v>0</v>
      </c>
      <c r="T48" s="66">
        <f>M9</f>
        <v>0.04</v>
      </c>
      <c r="U48" s="66">
        <f>M10</f>
        <v>0</v>
      </c>
      <c r="V48" s="66">
        <f>M12</f>
        <v>1</v>
      </c>
      <c r="W48" s="66">
        <f>M13</f>
        <v>3.3000000000000002E-2</v>
      </c>
      <c r="X48" s="66">
        <f>M14</f>
        <v>1</v>
      </c>
      <c r="Y48" s="66">
        <f>M15</f>
        <v>1</v>
      </c>
      <c r="Z48" s="66">
        <f>M18</f>
        <v>0.09</v>
      </c>
      <c r="AA48" s="66">
        <f>M19</f>
        <v>4.2500000000000003E-2</v>
      </c>
      <c r="AB48" s="66">
        <f>M21</f>
        <v>3.3000000000000002E-2</v>
      </c>
      <c r="AC48" s="66"/>
    </row>
    <row r="49" spans="17:29">
      <c r="Q49" s="64">
        <v>47</v>
      </c>
      <c r="R49" s="66">
        <f>R48</f>
        <v>0.04</v>
      </c>
      <c r="S49" s="66">
        <f t="shared" ref="S49:AB49" si="108">S48</f>
        <v>0</v>
      </c>
      <c r="T49" s="66">
        <f t="shared" si="108"/>
        <v>0.04</v>
      </c>
      <c r="U49" s="66">
        <f t="shared" si="108"/>
        <v>0</v>
      </c>
      <c r="V49" s="66">
        <f t="shared" si="108"/>
        <v>1</v>
      </c>
      <c r="W49" s="66">
        <f t="shared" si="108"/>
        <v>3.3000000000000002E-2</v>
      </c>
      <c r="X49" s="66">
        <f t="shared" si="108"/>
        <v>1</v>
      </c>
      <c r="Y49" s="66">
        <f t="shared" si="108"/>
        <v>1</v>
      </c>
      <c r="Z49" s="66">
        <f t="shared" si="108"/>
        <v>0.09</v>
      </c>
      <c r="AA49" s="66">
        <f t="shared" si="108"/>
        <v>4.2500000000000003E-2</v>
      </c>
      <c r="AB49" s="66">
        <f t="shared" si="108"/>
        <v>3.3000000000000002E-2</v>
      </c>
      <c r="AC49" s="66"/>
    </row>
    <row r="50" spans="17:29">
      <c r="Q50" s="64">
        <v>48</v>
      </c>
      <c r="R50" s="66">
        <f t="shared" ref="R50:R52" si="109">R49</f>
        <v>0.04</v>
      </c>
      <c r="S50" s="66">
        <f t="shared" ref="S50:S52" si="110">S49</f>
        <v>0</v>
      </c>
      <c r="T50" s="66">
        <f t="shared" ref="T50:T52" si="111">T49</f>
        <v>0.04</v>
      </c>
      <c r="U50" s="66">
        <f t="shared" ref="U50:U52" si="112">U49</f>
        <v>0</v>
      </c>
      <c r="V50" s="66">
        <f t="shared" ref="V50:V52" si="113">V49</f>
        <v>1</v>
      </c>
      <c r="W50" s="66">
        <f t="shared" ref="W50:W52" si="114">W49</f>
        <v>3.3000000000000002E-2</v>
      </c>
      <c r="X50" s="66">
        <f t="shared" ref="X50:X52" si="115">X49</f>
        <v>1</v>
      </c>
      <c r="Y50" s="66">
        <f t="shared" ref="Y50:Y52" si="116">Y49</f>
        <v>1</v>
      </c>
      <c r="Z50" s="66">
        <f t="shared" ref="Z50:Z52" si="117">Z49</f>
        <v>0.09</v>
      </c>
      <c r="AA50" s="66">
        <f t="shared" ref="AA50:AA52" si="118">AA49</f>
        <v>4.2500000000000003E-2</v>
      </c>
      <c r="AB50" s="66">
        <f t="shared" ref="AB50:AB52" si="119">AB49</f>
        <v>3.3000000000000002E-2</v>
      </c>
      <c r="AC50" s="66"/>
    </row>
    <row r="51" spans="17:29">
      <c r="Q51" s="64">
        <v>49</v>
      </c>
      <c r="R51" s="66">
        <f t="shared" si="109"/>
        <v>0.04</v>
      </c>
      <c r="S51" s="66">
        <f t="shared" si="110"/>
        <v>0</v>
      </c>
      <c r="T51" s="66">
        <f t="shared" si="111"/>
        <v>0.04</v>
      </c>
      <c r="U51" s="66">
        <f t="shared" si="112"/>
        <v>0</v>
      </c>
      <c r="V51" s="66">
        <f t="shared" si="113"/>
        <v>1</v>
      </c>
      <c r="W51" s="66">
        <f t="shared" si="114"/>
        <v>3.3000000000000002E-2</v>
      </c>
      <c r="X51" s="66">
        <f t="shared" si="115"/>
        <v>1</v>
      </c>
      <c r="Y51" s="66">
        <f t="shared" si="116"/>
        <v>1</v>
      </c>
      <c r="Z51" s="66">
        <f t="shared" si="117"/>
        <v>0.09</v>
      </c>
      <c r="AA51" s="66">
        <f t="shared" si="118"/>
        <v>4.2500000000000003E-2</v>
      </c>
      <c r="AB51" s="66">
        <f t="shared" si="119"/>
        <v>3.3000000000000002E-2</v>
      </c>
      <c r="AC51" s="66"/>
    </row>
    <row r="52" spans="17:29">
      <c r="Q52" s="64">
        <v>50</v>
      </c>
      <c r="R52" s="66">
        <f t="shared" si="109"/>
        <v>0.04</v>
      </c>
      <c r="S52" s="66">
        <f t="shared" si="110"/>
        <v>0</v>
      </c>
      <c r="T52" s="66">
        <f t="shared" si="111"/>
        <v>0.04</v>
      </c>
      <c r="U52" s="66">
        <f t="shared" si="112"/>
        <v>0</v>
      </c>
      <c r="V52" s="66">
        <f t="shared" si="113"/>
        <v>1</v>
      </c>
      <c r="W52" s="66">
        <f t="shared" si="114"/>
        <v>3.3000000000000002E-2</v>
      </c>
      <c r="X52" s="66">
        <f t="shared" si="115"/>
        <v>1</v>
      </c>
      <c r="Y52" s="66">
        <f t="shared" si="116"/>
        <v>1</v>
      </c>
      <c r="Z52" s="66">
        <f t="shared" si="117"/>
        <v>0.09</v>
      </c>
      <c r="AA52" s="66">
        <f t="shared" si="118"/>
        <v>4.2500000000000003E-2</v>
      </c>
      <c r="AB52" s="66">
        <f t="shared" si="119"/>
        <v>3.3000000000000002E-2</v>
      </c>
      <c r="AC52" s="66"/>
    </row>
  </sheetData>
  <sheetProtection formatCells="0" formatColumns="0" formatRows="0" insertColumns="0" insertRows="0"/>
  <mergeCells count="2">
    <mergeCell ref="C2:M2"/>
    <mergeCell ref="A2:B2"/>
  </mergeCells>
  <pageMargins left="0.7" right="0.7" top="0.75" bottom="0.75" header="0.3" footer="0.3"/>
  <pageSetup scale="45" orientation="landscape" r:id="rId1"/>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A1:AQ54"/>
  <sheetViews>
    <sheetView zoomScale="105" zoomScaleNormal="105" zoomScalePageLayoutView="105" workbookViewId="0">
      <pane xSplit="3" ySplit="2" topLeftCell="X32" activePane="bottomRight" state="frozen"/>
      <selection pane="topRight" activeCell="D1" sqref="D1"/>
      <selection pane="bottomLeft" activeCell="A3" sqref="A3"/>
      <selection pane="bottomRight" activeCell="Y54" sqref="Y54"/>
    </sheetView>
  </sheetViews>
  <sheetFormatPr defaultColWidth="11" defaultRowHeight="11.25"/>
  <cols>
    <col min="1" max="1" width="30.5" style="1" bestFit="1" customWidth="1"/>
    <col min="2" max="2" width="11.875" style="15" customWidth="1"/>
    <col min="3" max="3" width="4" style="15" bestFit="1" customWidth="1"/>
    <col min="4" max="4" width="12.125" style="1" customWidth="1"/>
    <col min="5" max="5" width="9.75" style="1" customWidth="1"/>
    <col min="6" max="6" width="11" style="1" bestFit="1" customWidth="1"/>
    <col min="7" max="7" width="10.5" style="1" customWidth="1"/>
    <col min="8" max="8" width="12.375" style="1" customWidth="1"/>
    <col min="9" max="9" width="10.25" style="15" customWidth="1"/>
    <col min="10" max="10" width="11.625" style="1" customWidth="1"/>
    <col min="11" max="11" width="10.125" style="1" customWidth="1"/>
    <col min="12" max="12" width="10.25" style="1" customWidth="1"/>
    <col min="13" max="13" width="10.875" style="1" customWidth="1"/>
    <col min="14" max="14" width="11" style="1" bestFit="1" customWidth="1"/>
    <col min="15" max="15" width="9.875" style="1" customWidth="1"/>
    <col min="16" max="16" width="10.75" style="15" customWidth="1"/>
    <col min="17" max="17" width="12" style="15" customWidth="1"/>
    <col min="18" max="18" width="9.5" style="15" customWidth="1"/>
    <col min="19" max="19" width="11.125" style="1" customWidth="1"/>
    <col min="20" max="20" width="9.25" style="1" customWidth="1"/>
    <col min="21" max="21" width="12.375" style="1" customWidth="1"/>
    <col min="22" max="22" width="11.125" style="1" customWidth="1"/>
    <col min="23" max="23" width="10.5" style="1" customWidth="1"/>
    <col min="24" max="28" width="11.5" style="1" customWidth="1"/>
    <col min="29" max="29" width="10.75" style="1" customWidth="1"/>
    <col min="30" max="31" width="9.25" style="1" customWidth="1"/>
    <col min="32" max="16384" width="11" style="1"/>
  </cols>
  <sheetData>
    <row r="1" spans="1:43" s="18" customFormat="1" ht="36" customHeight="1">
      <c r="A1" s="121" t="s">
        <v>40</v>
      </c>
      <c r="B1" s="122"/>
      <c r="C1" s="123"/>
      <c r="D1" s="118" t="s">
        <v>10</v>
      </c>
      <c r="E1" s="119"/>
      <c r="F1" s="119"/>
      <c r="G1" s="119"/>
      <c r="H1" s="119"/>
      <c r="I1" s="120"/>
      <c r="J1" s="118" t="s">
        <v>24</v>
      </c>
      <c r="K1" s="119"/>
      <c r="L1" s="119"/>
      <c r="M1" s="119"/>
      <c r="N1" s="118" t="s">
        <v>19</v>
      </c>
      <c r="O1" s="119"/>
      <c r="P1" s="119"/>
      <c r="Q1" s="119"/>
      <c r="R1" s="119"/>
      <c r="S1" s="119"/>
      <c r="T1" s="119"/>
      <c r="U1" s="115" t="s">
        <v>81</v>
      </c>
      <c r="V1" s="116"/>
      <c r="W1" s="116"/>
      <c r="X1" s="116"/>
      <c r="Y1" s="115" t="s">
        <v>84</v>
      </c>
      <c r="Z1" s="116"/>
      <c r="AA1" s="116"/>
      <c r="AB1" s="117"/>
      <c r="AC1" s="115" t="s">
        <v>83</v>
      </c>
      <c r="AD1" s="116"/>
      <c r="AE1" s="116"/>
      <c r="AF1" s="116"/>
      <c r="AG1" s="18" t="s">
        <v>41</v>
      </c>
    </row>
    <row r="2" spans="1:43" s="37" customFormat="1" ht="56.25">
      <c r="C2" s="2" t="s">
        <v>0</v>
      </c>
      <c r="D2" s="3" t="s">
        <v>42</v>
      </c>
      <c r="E2" s="3" t="s">
        <v>59</v>
      </c>
      <c r="F2" s="3" t="s">
        <v>1</v>
      </c>
      <c r="G2" s="4" t="s">
        <v>43</v>
      </c>
      <c r="H2" s="4" t="s">
        <v>44</v>
      </c>
      <c r="I2" s="2" t="s">
        <v>79</v>
      </c>
      <c r="J2" s="3" t="s">
        <v>72</v>
      </c>
      <c r="K2" s="3" t="s">
        <v>75</v>
      </c>
      <c r="L2" s="4" t="s">
        <v>71</v>
      </c>
      <c r="M2" s="3" t="s">
        <v>80</v>
      </c>
      <c r="N2" s="35" t="s">
        <v>1</v>
      </c>
      <c r="O2" s="4" t="s">
        <v>20</v>
      </c>
      <c r="P2" s="3" t="s">
        <v>76</v>
      </c>
      <c r="Q2" s="36" t="s">
        <v>73</v>
      </c>
      <c r="R2" s="4" t="s">
        <v>74</v>
      </c>
      <c r="S2" s="3" t="s">
        <v>72</v>
      </c>
      <c r="T2" s="3" t="s">
        <v>75</v>
      </c>
      <c r="U2" s="3" t="s">
        <v>72</v>
      </c>
      <c r="V2" s="3" t="s">
        <v>75</v>
      </c>
      <c r="W2" s="4" t="s">
        <v>71</v>
      </c>
      <c r="X2" s="3" t="s">
        <v>80</v>
      </c>
      <c r="Y2" s="36" t="s">
        <v>82</v>
      </c>
      <c r="Z2" s="4" t="s">
        <v>74</v>
      </c>
      <c r="AA2" s="3" t="s">
        <v>72</v>
      </c>
      <c r="AB2" s="3" t="s">
        <v>75</v>
      </c>
      <c r="AC2" s="3" t="s">
        <v>72</v>
      </c>
      <c r="AD2" s="3" t="s">
        <v>75</v>
      </c>
      <c r="AE2" s="4" t="s">
        <v>71</v>
      </c>
      <c r="AF2" s="3" t="s">
        <v>80</v>
      </c>
      <c r="AG2" s="56" t="str">
        <f>Summary!R2</f>
        <v>Parking permit price increase (if annual permits are separated)</v>
      </c>
      <c r="AH2" s="56" t="str">
        <f>Summary!S2</f>
        <v>Parking permit volume increase (if annual permits are separated)</v>
      </c>
      <c r="AI2" s="56" t="str">
        <f>Summary!T2</f>
        <v>Parking price increase (excluding annual permits if separated)</v>
      </c>
      <c r="AJ2" s="56" t="str">
        <f>Summary!U2</f>
        <v>Parking volume increase (excluding annual permits if separated)</v>
      </c>
      <c r="AK2" s="56" t="str">
        <f>Summary!V2</f>
        <v>Revenue generated by OSU as fraction of operator</v>
      </c>
      <c r="AL2" s="56" t="str">
        <f>Summary!W2</f>
        <v>Rate of increase in parking operation costs by operator</v>
      </c>
      <c r="AM2" s="56" t="str">
        <f>Summary!X2</f>
        <v>Operating costs by OSU as fraction of operator costs</v>
      </c>
      <c r="AN2" s="56" t="str">
        <f>Summary!Y2</f>
        <v>CapEx costs by OSU as fraction of operator costs</v>
      </c>
      <c r="AO2" s="56" t="str">
        <f>Summary!Z2</f>
        <v>Return on long-term investment portfolio</v>
      </c>
      <c r="AP2" s="56" t="str">
        <f>Summary!AA2</f>
        <v>OSU draw rate from long-term investment portfolio</v>
      </c>
      <c r="AQ2" s="56" t="str">
        <f>Summary!AB2</f>
        <v>Inflation (assumed always ≤ 4%/yr)</v>
      </c>
    </row>
    <row r="3" spans="1:43">
      <c r="A3" s="5" t="s">
        <v>7</v>
      </c>
      <c r="B3" s="38" t="s">
        <v>5</v>
      </c>
      <c r="C3" s="6">
        <v>1</v>
      </c>
      <c r="D3" s="7">
        <f>$B$6</f>
        <v>0</v>
      </c>
      <c r="E3" s="21">
        <f>B5-$D$3</f>
        <v>30000000</v>
      </c>
      <c r="F3" s="21">
        <f>D3+E3</f>
        <v>30000000</v>
      </c>
      <c r="G3" s="21">
        <f>$B$7</f>
        <v>9000000</v>
      </c>
      <c r="H3" s="21">
        <f>'CapEx Estimates'!E3</f>
        <v>7677850.6799999997</v>
      </c>
      <c r="I3" s="20">
        <f t="shared" ref="I3:I4" si="0">F3-G3-H3</f>
        <v>13322149.32</v>
      </c>
      <c r="J3" s="21">
        <f>$B$12</f>
        <v>400000000</v>
      </c>
      <c r="K3" s="21">
        <f>J3*AO3</f>
        <v>36000000</v>
      </c>
      <c r="L3" s="21">
        <f>J3*AP3</f>
        <v>17000000</v>
      </c>
      <c r="M3" s="21">
        <f>K3-L3</f>
        <v>19000000</v>
      </c>
      <c r="N3" s="39">
        <f t="shared" ref="N3" si="1">F3</f>
        <v>30000000</v>
      </c>
      <c r="O3" s="19">
        <f>G3*AM3+H3*AN3</f>
        <v>16677850.68</v>
      </c>
      <c r="P3" s="19">
        <f>N3-O3</f>
        <v>13322149.32</v>
      </c>
      <c r="Q3" s="19">
        <f>L3</f>
        <v>17000000</v>
      </c>
      <c r="R3" s="19">
        <f>P3-Q3</f>
        <v>-3677850.6799999997</v>
      </c>
      <c r="S3" s="19">
        <v>0</v>
      </c>
      <c r="T3" s="19">
        <f>S3*AO3</f>
        <v>0</v>
      </c>
      <c r="U3" s="48">
        <f>J3</f>
        <v>400000000</v>
      </c>
      <c r="V3" s="19">
        <f>U3*AO3</f>
        <v>36000000</v>
      </c>
      <c r="W3" s="19">
        <f>P3</f>
        <v>13322149.32</v>
      </c>
      <c r="X3" s="19">
        <f>V3-W3</f>
        <v>22677850.68</v>
      </c>
      <c r="Y3" s="39">
        <f>P3</f>
        <v>13322149.32</v>
      </c>
      <c r="Z3" s="19">
        <f>P3-Y3</f>
        <v>0</v>
      </c>
      <c r="AA3" s="19">
        <v>0</v>
      </c>
      <c r="AB3" s="19">
        <f>AA3*AO3</f>
        <v>0</v>
      </c>
      <c r="AC3" s="39">
        <f>J3</f>
        <v>400000000</v>
      </c>
      <c r="AD3" s="19">
        <f>AC3*AO3</f>
        <v>36000000</v>
      </c>
      <c r="AE3" s="19">
        <f>Y3</f>
        <v>13322149.32</v>
      </c>
      <c r="AF3" s="87">
        <f>AD3-AE3</f>
        <v>22677850.68</v>
      </c>
      <c r="AG3" s="57">
        <f>Summary!R3</f>
        <v>5.5E-2</v>
      </c>
      <c r="AH3" s="57">
        <f>Summary!S3</f>
        <v>0</v>
      </c>
      <c r="AI3" s="57">
        <f>Summary!T3</f>
        <v>5.5E-2</v>
      </c>
      <c r="AJ3" s="57">
        <f>Summary!U3</f>
        <v>0</v>
      </c>
      <c r="AK3" s="57">
        <f>Summary!V3</f>
        <v>1</v>
      </c>
      <c r="AL3" s="57">
        <f>Summary!W3</f>
        <v>3.3000000000000002E-2</v>
      </c>
      <c r="AM3" s="57">
        <f>Summary!X3</f>
        <v>1</v>
      </c>
      <c r="AN3" s="57">
        <f>Summary!Y3</f>
        <v>1</v>
      </c>
      <c r="AO3" s="57">
        <f>Summary!Z3</f>
        <v>0.09</v>
      </c>
      <c r="AP3" s="57">
        <f>Summary!AA3</f>
        <v>4.2500000000000003E-2</v>
      </c>
      <c r="AQ3" s="57">
        <f>Summary!AB3</f>
        <v>3.3000000000000002E-2</v>
      </c>
    </row>
    <row r="4" spans="1:43">
      <c r="A4" s="40"/>
      <c r="B4" s="8" t="s">
        <v>26</v>
      </c>
      <c r="C4" s="6">
        <f>C3+1</f>
        <v>2</v>
      </c>
      <c r="D4" s="21">
        <f>D3*(1+AG4)*(1+AH4)</f>
        <v>0</v>
      </c>
      <c r="E4" s="21">
        <f>E3*(1+AI4)*(1+AJ4)</f>
        <v>31649999.999999996</v>
      </c>
      <c r="F4" s="21">
        <f>D4+E4</f>
        <v>31649999.999999996</v>
      </c>
      <c r="G4" s="21">
        <f>G3*(1+AL4)</f>
        <v>9297000</v>
      </c>
      <c r="H4" s="21">
        <f>'CapEx Estimates'!E4</f>
        <v>4416639.1553999996</v>
      </c>
      <c r="I4" s="20">
        <f t="shared" si="0"/>
        <v>17936360.844599996</v>
      </c>
      <c r="J4" s="21">
        <f>J3+M3</f>
        <v>419000000</v>
      </c>
      <c r="K4" s="21">
        <f t="shared" ref="K4:K52" si="2">J4*AO4</f>
        <v>37710000</v>
      </c>
      <c r="L4" s="21">
        <f t="shared" ref="L4:L52" si="3">J4*AP4</f>
        <v>17807500</v>
      </c>
      <c r="M4" s="21">
        <f t="shared" ref="M4:M52" si="4">K4-L4</f>
        <v>19902500</v>
      </c>
      <c r="N4" s="39">
        <f>F4*AK4</f>
        <v>31649999.999999996</v>
      </c>
      <c r="O4" s="19">
        <f t="shared" ref="O4:O52" si="5">G4*AM4+H4*AN4</f>
        <v>13713639.155400001</v>
      </c>
      <c r="P4" s="19">
        <f t="shared" ref="P4" si="6">N4-O4</f>
        <v>17936360.844599996</v>
      </c>
      <c r="Q4" s="19">
        <f>L4</f>
        <v>17807500</v>
      </c>
      <c r="R4" s="19">
        <f t="shared" ref="R4:R52" si="7">P4-Q4</f>
        <v>128860.84459999576</v>
      </c>
      <c r="S4" s="19">
        <f>S3+R3+T3</f>
        <v>-3677850.6799999997</v>
      </c>
      <c r="T4" s="19">
        <f>S4*AO4</f>
        <v>-331006.56119999994</v>
      </c>
      <c r="U4" s="39">
        <f>U3+X3</f>
        <v>422677850.68000001</v>
      </c>
      <c r="V4" s="19">
        <f>U4*AO4</f>
        <v>38041006.5612</v>
      </c>
      <c r="W4" s="19">
        <f>P4</f>
        <v>17936360.844599996</v>
      </c>
      <c r="X4" s="19">
        <f>V4-W4</f>
        <v>20104645.716600005</v>
      </c>
      <c r="Y4" s="39">
        <f>Y3*(1+AQ4)</f>
        <v>13761780.24756</v>
      </c>
      <c r="Z4" s="19">
        <f>P4-Y4</f>
        <v>4174580.5970399957</v>
      </c>
      <c r="AA4" s="19">
        <f>AA3+Z3+AB3</f>
        <v>0</v>
      </c>
      <c r="AB4" s="19">
        <f>AA4*AO4</f>
        <v>0</v>
      </c>
      <c r="AC4" s="39">
        <f>AC3+AF3</f>
        <v>422677850.68000001</v>
      </c>
      <c r="AD4" s="19">
        <f>AC4*AO4</f>
        <v>38041006.5612</v>
      </c>
      <c r="AE4" s="19">
        <f>Y4</f>
        <v>13761780.24756</v>
      </c>
      <c r="AF4" s="87">
        <f>AD4-AE4</f>
        <v>24279226.313639998</v>
      </c>
      <c r="AG4" s="57">
        <f>Summary!R4</f>
        <v>5.5E-2</v>
      </c>
      <c r="AH4" s="57">
        <f>Summary!S4</f>
        <v>0</v>
      </c>
      <c r="AI4" s="57">
        <f>Summary!T4</f>
        <v>5.5E-2</v>
      </c>
      <c r="AJ4" s="57">
        <f>Summary!U4</f>
        <v>0</v>
      </c>
      <c r="AK4" s="57">
        <f>Summary!V4</f>
        <v>1</v>
      </c>
      <c r="AL4" s="57">
        <f>Summary!W4</f>
        <v>3.3000000000000002E-2</v>
      </c>
      <c r="AM4" s="57">
        <f>Summary!X4</f>
        <v>1</v>
      </c>
      <c r="AN4" s="57">
        <f>Summary!Y4</f>
        <v>1</v>
      </c>
      <c r="AO4" s="57">
        <f>Summary!Z4</f>
        <v>0.09</v>
      </c>
      <c r="AP4" s="57">
        <f>Summary!AA4</f>
        <v>4.2500000000000003E-2</v>
      </c>
      <c r="AQ4" s="57">
        <f>Summary!AB4</f>
        <v>3.3000000000000002E-2</v>
      </c>
    </row>
    <row r="5" spans="1:43">
      <c r="A5" s="23" t="s">
        <v>11</v>
      </c>
      <c r="B5" s="54">
        <f>Summary!C3</f>
        <v>30000000</v>
      </c>
      <c r="C5" s="6">
        <f t="shared" ref="C5:C52" si="8">C4+1</f>
        <v>3</v>
      </c>
      <c r="D5" s="21">
        <f t="shared" ref="D5:D52" si="9">D4*(1+AG5)*(1+AH5)</f>
        <v>0</v>
      </c>
      <c r="E5" s="21">
        <f t="shared" ref="E5:E52" si="10">E4*(1+AI5)*(1+AJ5)</f>
        <v>33390749.999999993</v>
      </c>
      <c r="F5" s="21">
        <f t="shared" ref="F5:F52" si="11">D5+E5</f>
        <v>33390749.999999993</v>
      </c>
      <c r="G5" s="21">
        <f t="shared" ref="G5:G52" si="12">G4*(1+AL5)</f>
        <v>9603801</v>
      </c>
      <c r="H5" s="21">
        <f>'CapEx Estimates'!E5</f>
        <v>4696410.6114870002</v>
      </c>
      <c r="I5" s="20">
        <f t="shared" ref="I5:I52" si="13">F5-G5-H5</f>
        <v>19090538.388512991</v>
      </c>
      <c r="J5" s="21">
        <f t="shared" ref="J5:J53" si="14">J4+M4</f>
        <v>438902500</v>
      </c>
      <c r="K5" s="21">
        <f t="shared" si="2"/>
        <v>39501225</v>
      </c>
      <c r="L5" s="21">
        <f t="shared" si="3"/>
        <v>18653356.25</v>
      </c>
      <c r="M5" s="21">
        <f t="shared" si="4"/>
        <v>20847868.75</v>
      </c>
      <c r="N5" s="39">
        <f t="shared" ref="N5:N52" si="15">F5*AK5</f>
        <v>33390749.999999993</v>
      </c>
      <c r="O5" s="19">
        <f t="shared" si="5"/>
        <v>14300211.611487001</v>
      </c>
      <c r="P5" s="19">
        <f t="shared" ref="P5:P52" si="16">N5-O5</f>
        <v>19090538.388512991</v>
      </c>
      <c r="Q5" s="19">
        <f t="shared" ref="Q5:Q53" si="17">L5</f>
        <v>18653356.25</v>
      </c>
      <c r="R5" s="19">
        <f t="shared" si="7"/>
        <v>437182.13851299137</v>
      </c>
      <c r="S5" s="19">
        <f t="shared" ref="S5:S53" si="18">S4+R4+T4</f>
        <v>-3879996.3966000038</v>
      </c>
      <c r="T5" s="19">
        <f t="shared" ref="T5:T52" si="19">S5*AO5</f>
        <v>-349199.67569400033</v>
      </c>
      <c r="U5" s="39">
        <f t="shared" ref="U5:U53" si="20">U4+X4</f>
        <v>442782496.39660001</v>
      </c>
      <c r="V5" s="19">
        <f t="shared" ref="V5:V52" si="21">U5*AO5</f>
        <v>39850424.675693996</v>
      </c>
      <c r="W5" s="19">
        <f t="shared" ref="W5:W52" si="22">P5</f>
        <v>19090538.388512991</v>
      </c>
      <c r="X5" s="19">
        <f t="shared" ref="X5:X52" si="23">V5-W5</f>
        <v>20759886.287181005</v>
      </c>
      <c r="Y5" s="39">
        <f>Y4*(1+AQ5)</f>
        <v>14215918.995729478</v>
      </c>
      <c r="Z5" s="19">
        <f>P5-Y5</f>
        <v>4874619.3927835133</v>
      </c>
      <c r="AA5" s="19">
        <f>AA4+Z4+AB4</f>
        <v>4174580.5970399957</v>
      </c>
      <c r="AB5" s="19">
        <f>AA5*AO5</f>
        <v>375712.25373359962</v>
      </c>
      <c r="AC5" s="39">
        <f t="shared" ref="AC5:AC53" si="24">AC4+AF4</f>
        <v>446957076.99364001</v>
      </c>
      <c r="AD5" s="19">
        <f t="shared" ref="AD5:AD52" si="25">AC5*AO5</f>
        <v>40226136.929427601</v>
      </c>
      <c r="AE5" s="19">
        <f t="shared" ref="AE5:AE52" si="26">Y5</f>
        <v>14215918.995729478</v>
      </c>
      <c r="AF5" s="87">
        <f t="shared" ref="AF5:AF52" si="27">AD5-AE5</f>
        <v>26010217.933698125</v>
      </c>
      <c r="AG5" s="57">
        <f>Summary!R5</f>
        <v>5.5E-2</v>
      </c>
      <c r="AH5" s="57">
        <f>Summary!S5</f>
        <v>0</v>
      </c>
      <c r="AI5" s="57">
        <f>Summary!T5</f>
        <v>5.5E-2</v>
      </c>
      <c r="AJ5" s="57">
        <f>Summary!U5</f>
        <v>0</v>
      </c>
      <c r="AK5" s="57">
        <f>Summary!V5</f>
        <v>1</v>
      </c>
      <c r="AL5" s="57">
        <f>Summary!W5</f>
        <v>3.3000000000000002E-2</v>
      </c>
      <c r="AM5" s="57">
        <f>Summary!X5</f>
        <v>1</v>
      </c>
      <c r="AN5" s="57">
        <f>Summary!Y5</f>
        <v>1</v>
      </c>
      <c r="AO5" s="57">
        <f>Summary!Z5</f>
        <v>0.09</v>
      </c>
      <c r="AP5" s="57">
        <f>Summary!AA5</f>
        <v>4.2500000000000003E-2</v>
      </c>
      <c r="AQ5" s="57">
        <f>Summary!AB5</f>
        <v>3.3000000000000002E-2</v>
      </c>
    </row>
    <row r="6" spans="1:43" ht="22.5">
      <c r="A6" s="23" t="s">
        <v>8</v>
      </c>
      <c r="B6" s="54">
        <f>Summary!C4</f>
        <v>0</v>
      </c>
      <c r="C6" s="6">
        <f t="shared" si="8"/>
        <v>4</v>
      </c>
      <c r="D6" s="21">
        <f t="shared" si="9"/>
        <v>0</v>
      </c>
      <c r="E6" s="21">
        <f t="shared" si="10"/>
        <v>35227241.249999993</v>
      </c>
      <c r="F6" s="21">
        <f t="shared" si="11"/>
        <v>35227241.249999993</v>
      </c>
      <c r="G6" s="21">
        <f t="shared" si="12"/>
        <v>9920726.4329999983</v>
      </c>
      <c r="H6" s="21">
        <f>'CapEx Estimates'!E6</f>
        <v>4920590.5817716094</v>
      </c>
      <c r="I6" s="20">
        <f t="shared" si="13"/>
        <v>20385924.235228386</v>
      </c>
      <c r="J6" s="21">
        <f t="shared" si="14"/>
        <v>459750368.75</v>
      </c>
      <c r="K6" s="21">
        <f t="shared" si="2"/>
        <v>41377533.1875</v>
      </c>
      <c r="L6" s="21">
        <f t="shared" si="3"/>
        <v>19539390.671875</v>
      </c>
      <c r="M6" s="21">
        <f t="shared" si="4"/>
        <v>21838142.515625</v>
      </c>
      <c r="N6" s="39">
        <f t="shared" si="15"/>
        <v>35227241.249999993</v>
      </c>
      <c r="O6" s="19">
        <f t="shared" si="5"/>
        <v>14841317.014771607</v>
      </c>
      <c r="P6" s="19">
        <f t="shared" si="16"/>
        <v>20385924.235228386</v>
      </c>
      <c r="Q6" s="19">
        <f t="shared" si="17"/>
        <v>19539390.671875</v>
      </c>
      <c r="R6" s="19">
        <f t="shared" si="7"/>
        <v>846533.56335338578</v>
      </c>
      <c r="S6" s="19">
        <f t="shared" si="18"/>
        <v>-3792013.9337810129</v>
      </c>
      <c r="T6" s="19">
        <f t="shared" si="19"/>
        <v>-341281.25404029113</v>
      </c>
      <c r="U6" s="39">
        <f t="shared" si="20"/>
        <v>463542382.68378103</v>
      </c>
      <c r="V6" s="19">
        <f t="shared" si="21"/>
        <v>41718814.441540293</v>
      </c>
      <c r="W6" s="19">
        <f t="shared" si="22"/>
        <v>20385924.235228386</v>
      </c>
      <c r="X6" s="19">
        <f t="shared" si="23"/>
        <v>21332890.206311908</v>
      </c>
      <c r="Y6" s="39">
        <f t="shared" ref="Y6:Y52" si="28">Y5*(1+AQ6)</f>
        <v>14685044.32258855</v>
      </c>
      <c r="Z6" s="19">
        <f t="shared" ref="Z6:Z52" si="29">P6-Y6</f>
        <v>5700879.9126398358</v>
      </c>
      <c r="AA6" s="19">
        <f t="shared" ref="AA6:AA53" si="30">AA5+Z5+AB5</f>
        <v>9424912.2435571086</v>
      </c>
      <c r="AB6" s="19">
        <f t="shared" ref="AB6:AB52" si="31">AA6*AO6</f>
        <v>848242.10192013974</v>
      </c>
      <c r="AC6" s="39">
        <f t="shared" si="24"/>
        <v>472967294.92733812</v>
      </c>
      <c r="AD6" s="19">
        <f t="shared" si="25"/>
        <v>42567056.543460429</v>
      </c>
      <c r="AE6" s="19">
        <f t="shared" si="26"/>
        <v>14685044.32258855</v>
      </c>
      <c r="AF6" s="87">
        <f t="shared" si="27"/>
        <v>27882012.220871881</v>
      </c>
      <c r="AG6" s="57">
        <f>Summary!R6</f>
        <v>5.5E-2</v>
      </c>
      <c r="AH6" s="57">
        <f>Summary!S6</f>
        <v>0</v>
      </c>
      <c r="AI6" s="57">
        <f>Summary!T6</f>
        <v>5.5E-2</v>
      </c>
      <c r="AJ6" s="57">
        <f>Summary!U6</f>
        <v>0</v>
      </c>
      <c r="AK6" s="57">
        <f>Summary!V6</f>
        <v>1</v>
      </c>
      <c r="AL6" s="57">
        <f>Summary!W6</f>
        <v>3.3000000000000002E-2</v>
      </c>
      <c r="AM6" s="57">
        <f>Summary!X6</f>
        <v>1</v>
      </c>
      <c r="AN6" s="57">
        <f>Summary!Y6</f>
        <v>1</v>
      </c>
      <c r="AO6" s="57">
        <f>Summary!Z6</f>
        <v>0.09</v>
      </c>
      <c r="AP6" s="57">
        <f>Summary!AA6</f>
        <v>4.2500000000000003E-2</v>
      </c>
      <c r="AQ6" s="57">
        <f>Summary!AB6</f>
        <v>3.3000000000000002E-2</v>
      </c>
    </row>
    <row r="7" spans="1:43">
      <c r="A7" s="23" t="s">
        <v>12</v>
      </c>
      <c r="B7" s="54">
        <f>Summary!C5</f>
        <v>9000000</v>
      </c>
      <c r="C7" s="6">
        <f t="shared" si="8"/>
        <v>5</v>
      </c>
      <c r="D7" s="21">
        <f t="shared" si="9"/>
        <v>0</v>
      </c>
      <c r="E7" s="21">
        <f t="shared" si="10"/>
        <v>37164739.51874999</v>
      </c>
      <c r="F7" s="21">
        <f t="shared" si="11"/>
        <v>37164739.51874999</v>
      </c>
      <c r="G7" s="21">
        <f t="shared" si="12"/>
        <v>10248110.405288998</v>
      </c>
      <c r="H7" s="21">
        <f>'CapEx Estimates'!E7</f>
        <v>5052818.9358884254</v>
      </c>
      <c r="I7" s="20">
        <f t="shared" si="13"/>
        <v>21863810.177572567</v>
      </c>
      <c r="J7" s="21">
        <f t="shared" si="14"/>
        <v>481588511.265625</v>
      </c>
      <c r="K7" s="21">
        <f t="shared" si="2"/>
        <v>43342966.013906248</v>
      </c>
      <c r="L7" s="21">
        <f t="shared" si="3"/>
        <v>20467511.728789065</v>
      </c>
      <c r="M7" s="21">
        <f t="shared" si="4"/>
        <v>22875454.285117183</v>
      </c>
      <c r="N7" s="39">
        <f t="shared" si="15"/>
        <v>37164739.51874999</v>
      </c>
      <c r="O7" s="19">
        <f t="shared" si="5"/>
        <v>15300929.341177423</v>
      </c>
      <c r="P7" s="19">
        <f t="shared" si="16"/>
        <v>21863810.177572567</v>
      </c>
      <c r="Q7" s="19">
        <f t="shared" si="17"/>
        <v>20467511.728789065</v>
      </c>
      <c r="R7" s="19">
        <f t="shared" si="7"/>
        <v>1396298.448783502</v>
      </c>
      <c r="S7" s="19">
        <f t="shared" si="18"/>
        <v>-3286761.6244679182</v>
      </c>
      <c r="T7" s="19">
        <f t="shared" si="19"/>
        <v>-295808.54620211263</v>
      </c>
      <c r="U7" s="39">
        <f t="shared" si="20"/>
        <v>484875272.89009291</v>
      </c>
      <c r="V7" s="19">
        <f t="shared" si="21"/>
        <v>43638774.560108364</v>
      </c>
      <c r="W7" s="19">
        <f t="shared" si="22"/>
        <v>21863810.177572567</v>
      </c>
      <c r="X7" s="19">
        <f t="shared" si="23"/>
        <v>21774964.382535797</v>
      </c>
      <c r="Y7" s="39">
        <f t="shared" si="28"/>
        <v>15169650.785233971</v>
      </c>
      <c r="Z7" s="19">
        <f t="shared" si="29"/>
        <v>6694159.3923385963</v>
      </c>
      <c r="AA7" s="19">
        <f t="shared" si="30"/>
        <v>15974034.258117083</v>
      </c>
      <c r="AB7" s="19">
        <f t="shared" si="31"/>
        <v>1437663.0832305374</v>
      </c>
      <c r="AC7" s="39">
        <f t="shared" si="24"/>
        <v>500849307.14820999</v>
      </c>
      <c r="AD7" s="19">
        <f t="shared" si="25"/>
        <v>45076437.643338896</v>
      </c>
      <c r="AE7" s="19">
        <f t="shared" si="26"/>
        <v>15169650.785233971</v>
      </c>
      <c r="AF7" s="87">
        <f t="shared" si="27"/>
        <v>29906786.858104926</v>
      </c>
      <c r="AG7" s="57">
        <f>Summary!R7</f>
        <v>5.5E-2</v>
      </c>
      <c r="AH7" s="57">
        <f>Summary!S7</f>
        <v>0</v>
      </c>
      <c r="AI7" s="57">
        <f>Summary!T7</f>
        <v>5.5E-2</v>
      </c>
      <c r="AJ7" s="57">
        <f>Summary!U7</f>
        <v>0</v>
      </c>
      <c r="AK7" s="57">
        <f>Summary!V7</f>
        <v>1</v>
      </c>
      <c r="AL7" s="57">
        <f>Summary!W7</f>
        <v>3.3000000000000002E-2</v>
      </c>
      <c r="AM7" s="57">
        <f>Summary!X7</f>
        <v>1</v>
      </c>
      <c r="AN7" s="57">
        <f>Summary!Y7</f>
        <v>1</v>
      </c>
      <c r="AO7" s="57">
        <f>Summary!Z7</f>
        <v>0.09</v>
      </c>
      <c r="AP7" s="57">
        <f>Summary!AA7</f>
        <v>4.2500000000000003E-2</v>
      </c>
      <c r="AQ7" s="57">
        <f>Summary!AB7</f>
        <v>3.3000000000000002E-2</v>
      </c>
    </row>
    <row r="8" spans="1:43">
      <c r="A8" s="40"/>
      <c r="B8" s="54"/>
      <c r="C8" s="6">
        <f t="shared" si="8"/>
        <v>6</v>
      </c>
      <c r="D8" s="21">
        <f t="shared" si="9"/>
        <v>0</v>
      </c>
      <c r="E8" s="21">
        <f t="shared" si="10"/>
        <v>39208800.192281239</v>
      </c>
      <c r="F8" s="21">
        <f t="shared" si="11"/>
        <v>39208800.192281239</v>
      </c>
      <c r="G8" s="21">
        <f t="shared" si="12"/>
        <v>10586298.048663534</v>
      </c>
      <c r="H8" s="21">
        <f>'CapEx Estimates'!E8</f>
        <v>5012820.2010915931</v>
      </c>
      <c r="I8" s="20">
        <f t="shared" si="13"/>
        <v>23609681.94252611</v>
      </c>
      <c r="J8" s="21">
        <f t="shared" si="14"/>
        <v>504463965.55074221</v>
      </c>
      <c r="K8" s="21">
        <f t="shared" si="2"/>
        <v>45401756.899566799</v>
      </c>
      <c r="L8" s="21">
        <f t="shared" si="3"/>
        <v>21439718.535906546</v>
      </c>
      <c r="M8" s="21">
        <f t="shared" si="4"/>
        <v>23962038.363660254</v>
      </c>
      <c r="N8" s="39">
        <f t="shared" si="15"/>
        <v>39208800.192281239</v>
      </c>
      <c r="O8" s="19">
        <f t="shared" si="5"/>
        <v>15599118.249755127</v>
      </c>
      <c r="P8" s="19">
        <f t="shared" si="16"/>
        <v>23609681.94252611</v>
      </c>
      <c r="Q8" s="19">
        <f t="shared" si="17"/>
        <v>21439718.535906546</v>
      </c>
      <c r="R8" s="19">
        <f t="shared" si="7"/>
        <v>2169963.4066195637</v>
      </c>
      <c r="S8" s="19">
        <f t="shared" si="18"/>
        <v>-2186271.7218865287</v>
      </c>
      <c r="T8" s="19">
        <f t="shared" si="19"/>
        <v>-196764.45496978756</v>
      </c>
      <c r="U8" s="39">
        <f t="shared" si="20"/>
        <v>506650237.27262872</v>
      </c>
      <c r="V8" s="19">
        <f t="shared" si="21"/>
        <v>45598521.354536586</v>
      </c>
      <c r="W8" s="19">
        <f t="shared" si="22"/>
        <v>23609681.94252611</v>
      </c>
      <c r="X8" s="19">
        <f t="shared" si="23"/>
        <v>21988839.412010476</v>
      </c>
      <c r="Y8" s="39">
        <f t="shared" si="28"/>
        <v>15670249.261146691</v>
      </c>
      <c r="Z8" s="19">
        <f t="shared" si="29"/>
        <v>7939432.6813794188</v>
      </c>
      <c r="AA8" s="19">
        <f t="shared" si="30"/>
        <v>24105856.733686216</v>
      </c>
      <c r="AB8" s="19">
        <f t="shared" si="31"/>
        <v>2169527.1060317592</v>
      </c>
      <c r="AC8" s="39">
        <f t="shared" si="24"/>
        <v>530756094.00631493</v>
      </c>
      <c r="AD8" s="19">
        <f t="shared" si="25"/>
        <v>47768048.460568339</v>
      </c>
      <c r="AE8" s="19">
        <f t="shared" si="26"/>
        <v>15670249.261146691</v>
      </c>
      <c r="AF8" s="87">
        <f t="shared" si="27"/>
        <v>32097799.199421648</v>
      </c>
      <c r="AG8" s="57">
        <f>Summary!R8</f>
        <v>5.5E-2</v>
      </c>
      <c r="AH8" s="57">
        <f>Summary!S8</f>
        <v>0</v>
      </c>
      <c r="AI8" s="57">
        <f>Summary!T8</f>
        <v>5.5E-2</v>
      </c>
      <c r="AJ8" s="57">
        <f>Summary!U8</f>
        <v>0</v>
      </c>
      <c r="AK8" s="57">
        <f>Summary!V8</f>
        <v>1</v>
      </c>
      <c r="AL8" s="57">
        <f>Summary!W8</f>
        <v>3.3000000000000002E-2</v>
      </c>
      <c r="AM8" s="57">
        <f>Summary!X8</f>
        <v>1</v>
      </c>
      <c r="AN8" s="57">
        <f>Summary!Y8</f>
        <v>1</v>
      </c>
      <c r="AO8" s="57">
        <f>Summary!Z8</f>
        <v>0.09</v>
      </c>
      <c r="AP8" s="57">
        <f>Summary!AA8</f>
        <v>4.2500000000000003E-2</v>
      </c>
      <c r="AQ8" s="57">
        <f>Summary!AB8</f>
        <v>3.3000000000000002E-2</v>
      </c>
    </row>
    <row r="9" spans="1:43">
      <c r="A9" s="23" t="s">
        <v>2</v>
      </c>
      <c r="B9" s="55"/>
      <c r="C9" s="6">
        <f t="shared" si="8"/>
        <v>7</v>
      </c>
      <c r="D9" s="21">
        <f t="shared" si="9"/>
        <v>0</v>
      </c>
      <c r="E9" s="21">
        <f t="shared" si="10"/>
        <v>41365284.202856705</v>
      </c>
      <c r="F9" s="21">
        <f t="shared" si="11"/>
        <v>41365284.202856705</v>
      </c>
      <c r="G9" s="21">
        <f t="shared" si="12"/>
        <v>10935645.884269429</v>
      </c>
      <c r="H9" s="21">
        <f>'CapEx Estimates'!E9</f>
        <v>5202222.5555049451</v>
      </c>
      <c r="I9" s="20">
        <f t="shared" si="13"/>
        <v>25227415.763082329</v>
      </c>
      <c r="J9" s="21">
        <f t="shared" si="14"/>
        <v>528426003.91440248</v>
      </c>
      <c r="K9" s="21">
        <f t="shared" si="2"/>
        <v>47558340.352296218</v>
      </c>
      <c r="L9" s="21">
        <f t="shared" si="3"/>
        <v>22458105.166362107</v>
      </c>
      <c r="M9" s="21">
        <f t="shared" si="4"/>
        <v>25100235.185934111</v>
      </c>
      <c r="N9" s="39">
        <f t="shared" si="15"/>
        <v>41365284.202856705</v>
      </c>
      <c r="O9" s="19">
        <f t="shared" si="5"/>
        <v>16137868.439774375</v>
      </c>
      <c r="P9" s="19">
        <f t="shared" si="16"/>
        <v>25227415.763082329</v>
      </c>
      <c r="Q9" s="19">
        <f t="shared" si="17"/>
        <v>22458105.166362107</v>
      </c>
      <c r="R9" s="19">
        <f t="shared" si="7"/>
        <v>2769310.5967202224</v>
      </c>
      <c r="S9" s="19">
        <f t="shared" si="18"/>
        <v>-213072.77023675252</v>
      </c>
      <c r="T9" s="19">
        <f t="shared" si="19"/>
        <v>-19176.549321307724</v>
      </c>
      <c r="U9" s="39">
        <f t="shared" si="20"/>
        <v>528639076.68463922</v>
      </c>
      <c r="V9" s="19">
        <f t="shared" si="21"/>
        <v>47577516.901617527</v>
      </c>
      <c r="W9" s="19">
        <f t="shared" si="22"/>
        <v>25227415.763082329</v>
      </c>
      <c r="X9" s="19">
        <f t="shared" si="23"/>
        <v>22350101.138535198</v>
      </c>
      <c r="Y9" s="39">
        <f t="shared" si="28"/>
        <v>16187367.48676453</v>
      </c>
      <c r="Z9" s="19">
        <f t="shared" si="29"/>
        <v>9040048.2763177995</v>
      </c>
      <c r="AA9" s="19">
        <f t="shared" si="30"/>
        <v>34214816.521097392</v>
      </c>
      <c r="AB9" s="19">
        <f t="shared" si="31"/>
        <v>3079333.486898765</v>
      </c>
      <c r="AC9" s="39">
        <f t="shared" si="24"/>
        <v>562853893.20573664</v>
      </c>
      <c r="AD9" s="19">
        <f t="shared" si="25"/>
        <v>50656850.388516292</v>
      </c>
      <c r="AE9" s="19">
        <f t="shared" si="26"/>
        <v>16187367.48676453</v>
      </c>
      <c r="AF9" s="87">
        <f t="shared" si="27"/>
        <v>34469482.901751764</v>
      </c>
      <c r="AG9" s="57">
        <f>Summary!R9</f>
        <v>5.5E-2</v>
      </c>
      <c r="AH9" s="57">
        <f>Summary!S9</f>
        <v>0</v>
      </c>
      <c r="AI9" s="57">
        <f>Summary!T9</f>
        <v>5.5E-2</v>
      </c>
      <c r="AJ9" s="57">
        <f>Summary!U9</f>
        <v>0</v>
      </c>
      <c r="AK9" s="57">
        <f>Summary!V9</f>
        <v>1</v>
      </c>
      <c r="AL9" s="57">
        <f>Summary!W9</f>
        <v>3.3000000000000002E-2</v>
      </c>
      <c r="AM9" s="57">
        <f>Summary!X9</f>
        <v>1</v>
      </c>
      <c r="AN9" s="57">
        <f>Summary!Y9</f>
        <v>1</v>
      </c>
      <c r="AO9" s="57">
        <f>Summary!Z9</f>
        <v>0.09</v>
      </c>
      <c r="AP9" s="57">
        <f>Summary!AA9</f>
        <v>4.2500000000000003E-2</v>
      </c>
      <c r="AQ9" s="57">
        <f>Summary!AB9</f>
        <v>3.3000000000000002E-2</v>
      </c>
    </row>
    <row r="10" spans="1:43">
      <c r="A10" s="23" t="s">
        <v>3</v>
      </c>
      <c r="B10" s="55"/>
      <c r="C10" s="6">
        <f t="shared" si="8"/>
        <v>8</v>
      </c>
      <c r="D10" s="21">
        <f t="shared" si="9"/>
        <v>0</v>
      </c>
      <c r="E10" s="21">
        <f t="shared" si="10"/>
        <v>43640374.83401382</v>
      </c>
      <c r="F10" s="21">
        <f t="shared" si="11"/>
        <v>43640374.83401382</v>
      </c>
      <c r="G10" s="21">
        <f t="shared" si="12"/>
        <v>11296522.198450319</v>
      </c>
      <c r="H10" s="21">
        <f>'CapEx Estimates'!E10</f>
        <v>5367219.9612438763</v>
      </c>
      <c r="I10" s="20">
        <f t="shared" si="13"/>
        <v>26976632.674319625</v>
      </c>
      <c r="J10" s="21">
        <f t="shared" si="14"/>
        <v>553526239.10033655</v>
      </c>
      <c r="K10" s="21">
        <f t="shared" si="2"/>
        <v>49817361.519030288</v>
      </c>
      <c r="L10" s="21">
        <f t="shared" si="3"/>
        <v>23524865.161764305</v>
      </c>
      <c r="M10" s="21">
        <f t="shared" si="4"/>
        <v>26292496.357265983</v>
      </c>
      <c r="N10" s="39">
        <f t="shared" si="15"/>
        <v>43640374.83401382</v>
      </c>
      <c r="O10" s="19">
        <f t="shared" si="5"/>
        <v>16663742.159694195</v>
      </c>
      <c r="P10" s="19">
        <f t="shared" si="16"/>
        <v>26976632.674319625</v>
      </c>
      <c r="Q10" s="19">
        <f t="shared" si="17"/>
        <v>23524865.161764305</v>
      </c>
      <c r="R10" s="19">
        <f t="shared" si="7"/>
        <v>3451767.5125553198</v>
      </c>
      <c r="S10" s="19">
        <f t="shared" si="18"/>
        <v>2537061.2771621621</v>
      </c>
      <c r="T10" s="19">
        <f t="shared" si="19"/>
        <v>228335.51494459459</v>
      </c>
      <c r="U10" s="39">
        <f t="shared" si="20"/>
        <v>550989177.82317436</v>
      </c>
      <c r="V10" s="19">
        <f t="shared" si="21"/>
        <v>49589026.00408569</v>
      </c>
      <c r="W10" s="19">
        <f t="shared" si="22"/>
        <v>26976632.674319625</v>
      </c>
      <c r="X10" s="19">
        <f t="shared" si="23"/>
        <v>22612393.329766065</v>
      </c>
      <c r="Y10" s="39">
        <f t="shared" si="28"/>
        <v>16721550.613827758</v>
      </c>
      <c r="Z10" s="19">
        <f t="shared" si="29"/>
        <v>10255082.060491867</v>
      </c>
      <c r="AA10" s="19">
        <f t="shared" si="30"/>
        <v>46334198.284313954</v>
      </c>
      <c r="AB10" s="19">
        <f t="shared" si="31"/>
        <v>4170077.8455882557</v>
      </c>
      <c r="AC10" s="39">
        <f t="shared" si="24"/>
        <v>597323376.10748839</v>
      </c>
      <c r="AD10" s="19">
        <f t="shared" si="25"/>
        <v>53759103.849673957</v>
      </c>
      <c r="AE10" s="19">
        <f t="shared" si="26"/>
        <v>16721550.613827758</v>
      </c>
      <c r="AF10" s="87">
        <f t="shared" si="27"/>
        <v>37037553.235846199</v>
      </c>
      <c r="AG10" s="57">
        <f>Summary!R10</f>
        <v>5.5E-2</v>
      </c>
      <c r="AH10" s="57">
        <f>Summary!S10</f>
        <v>0</v>
      </c>
      <c r="AI10" s="57">
        <f>Summary!T10</f>
        <v>5.5E-2</v>
      </c>
      <c r="AJ10" s="57">
        <f>Summary!U10</f>
        <v>0</v>
      </c>
      <c r="AK10" s="57">
        <f>Summary!V10</f>
        <v>1</v>
      </c>
      <c r="AL10" s="57">
        <f>Summary!W10</f>
        <v>3.3000000000000002E-2</v>
      </c>
      <c r="AM10" s="57">
        <f>Summary!X10</f>
        <v>1</v>
      </c>
      <c r="AN10" s="57">
        <f>Summary!Y10</f>
        <v>1</v>
      </c>
      <c r="AO10" s="57">
        <f>Summary!Z10</f>
        <v>0.09</v>
      </c>
      <c r="AP10" s="57">
        <f>Summary!AA10</f>
        <v>4.2500000000000003E-2</v>
      </c>
      <c r="AQ10" s="57">
        <f>Summary!AB10</f>
        <v>3.3000000000000002E-2</v>
      </c>
    </row>
    <row r="11" spans="1:43">
      <c r="A11" s="40"/>
      <c r="B11" s="54"/>
      <c r="C11" s="6">
        <f t="shared" si="8"/>
        <v>9</v>
      </c>
      <c r="D11" s="21">
        <f t="shared" si="9"/>
        <v>0</v>
      </c>
      <c r="E11" s="21">
        <f t="shared" si="10"/>
        <v>46040595.449884579</v>
      </c>
      <c r="F11" s="21">
        <f t="shared" si="11"/>
        <v>46040595.449884579</v>
      </c>
      <c r="G11" s="21">
        <f t="shared" si="12"/>
        <v>11669307.430999178</v>
      </c>
      <c r="H11" s="21">
        <f>'CapEx Estimates'!E11</f>
        <v>5505239.932716202</v>
      </c>
      <c r="I11" s="20">
        <f t="shared" si="13"/>
        <v>28866048.086169202</v>
      </c>
      <c r="J11" s="21">
        <f t="shared" si="14"/>
        <v>579818735.4576025</v>
      </c>
      <c r="K11" s="21">
        <f t="shared" si="2"/>
        <v>52183686.191184223</v>
      </c>
      <c r="L11" s="21">
        <f t="shared" si="3"/>
        <v>24642296.25694811</v>
      </c>
      <c r="M11" s="21">
        <f t="shared" si="4"/>
        <v>27541389.934236113</v>
      </c>
      <c r="N11" s="39">
        <f t="shared" si="15"/>
        <v>46040595.449884579</v>
      </c>
      <c r="O11" s="19">
        <f t="shared" si="5"/>
        <v>17174547.36371538</v>
      </c>
      <c r="P11" s="19">
        <f t="shared" si="16"/>
        <v>28866048.086169198</v>
      </c>
      <c r="Q11" s="19">
        <f t="shared" si="17"/>
        <v>24642296.25694811</v>
      </c>
      <c r="R11" s="19">
        <f t="shared" si="7"/>
        <v>4223751.8292210884</v>
      </c>
      <c r="S11" s="19">
        <f t="shared" si="18"/>
        <v>6217164.3046620768</v>
      </c>
      <c r="T11" s="19">
        <f t="shared" si="19"/>
        <v>559544.78741958691</v>
      </c>
      <c r="U11" s="39">
        <f t="shared" si="20"/>
        <v>573601571.15294039</v>
      </c>
      <c r="V11" s="19">
        <f t="shared" si="21"/>
        <v>51624141.403764635</v>
      </c>
      <c r="W11" s="19">
        <f t="shared" si="22"/>
        <v>28866048.086169198</v>
      </c>
      <c r="X11" s="19">
        <f t="shared" si="23"/>
        <v>22758093.317595437</v>
      </c>
      <c r="Y11" s="39">
        <f t="shared" si="28"/>
        <v>17273361.78408407</v>
      </c>
      <c r="Z11" s="19">
        <f t="shared" si="29"/>
        <v>11592686.302085128</v>
      </c>
      <c r="AA11" s="19">
        <f t="shared" si="30"/>
        <v>60759358.190394074</v>
      </c>
      <c r="AB11" s="19">
        <f t="shared" si="31"/>
        <v>5468342.2371354662</v>
      </c>
      <c r="AC11" s="39">
        <f t="shared" si="24"/>
        <v>634360929.34333456</v>
      </c>
      <c r="AD11" s="19">
        <f t="shared" si="25"/>
        <v>57092483.640900105</v>
      </c>
      <c r="AE11" s="19">
        <f t="shared" si="26"/>
        <v>17273361.78408407</v>
      </c>
      <c r="AF11" s="87">
        <f t="shared" si="27"/>
        <v>39819121.856816038</v>
      </c>
      <c r="AG11" s="57">
        <f>Summary!R11</f>
        <v>5.5E-2</v>
      </c>
      <c r="AH11" s="57">
        <f>Summary!S11</f>
        <v>0</v>
      </c>
      <c r="AI11" s="57">
        <f>Summary!T11</f>
        <v>5.5E-2</v>
      </c>
      <c r="AJ11" s="57">
        <f>Summary!U11</f>
        <v>0</v>
      </c>
      <c r="AK11" s="57">
        <f>Summary!V11</f>
        <v>1</v>
      </c>
      <c r="AL11" s="57">
        <f>Summary!W11</f>
        <v>3.3000000000000002E-2</v>
      </c>
      <c r="AM11" s="57">
        <f>Summary!X11</f>
        <v>1</v>
      </c>
      <c r="AN11" s="57">
        <f>Summary!Y11</f>
        <v>1</v>
      </c>
      <c r="AO11" s="57">
        <f>Summary!Z11</f>
        <v>0.09</v>
      </c>
      <c r="AP11" s="57">
        <f>Summary!AA11</f>
        <v>4.2500000000000003E-2</v>
      </c>
      <c r="AQ11" s="57">
        <f>Summary!AB11</f>
        <v>3.3000000000000002E-2</v>
      </c>
    </row>
    <row r="12" spans="1:43">
      <c r="A12" s="23" t="s">
        <v>4</v>
      </c>
      <c r="B12" s="54">
        <f>Summary!C17</f>
        <v>400000000</v>
      </c>
      <c r="C12" s="6">
        <f t="shared" si="8"/>
        <v>10</v>
      </c>
      <c r="D12" s="21">
        <f t="shared" si="9"/>
        <v>0</v>
      </c>
      <c r="E12" s="21">
        <f t="shared" si="10"/>
        <v>48572828.199628226</v>
      </c>
      <c r="F12" s="21">
        <f t="shared" si="11"/>
        <v>48572828.199628226</v>
      </c>
      <c r="G12" s="21">
        <f t="shared" si="12"/>
        <v>12054394.57622215</v>
      </c>
      <c r="H12" s="21">
        <f>'CapEx Estimates'!E12</f>
        <v>5641973.2992745601</v>
      </c>
      <c r="I12" s="20">
        <f t="shared" si="13"/>
        <v>30876460.324131515</v>
      </c>
      <c r="J12" s="21">
        <f t="shared" si="14"/>
        <v>607360125.39183867</v>
      </c>
      <c r="K12" s="21">
        <f t="shared" si="2"/>
        <v>54662411.285265476</v>
      </c>
      <c r="L12" s="21">
        <f t="shared" si="3"/>
        <v>25812805.329153147</v>
      </c>
      <c r="M12" s="21">
        <f t="shared" si="4"/>
        <v>28849605.956112329</v>
      </c>
      <c r="N12" s="39">
        <f t="shared" si="15"/>
        <v>48572828.199628226</v>
      </c>
      <c r="O12" s="19">
        <f t="shared" si="5"/>
        <v>17696367.875496708</v>
      </c>
      <c r="P12" s="19">
        <f t="shared" si="16"/>
        <v>30876460.324131519</v>
      </c>
      <c r="Q12" s="19">
        <f t="shared" si="17"/>
        <v>25812805.329153147</v>
      </c>
      <c r="R12" s="19">
        <f t="shared" si="7"/>
        <v>5063654.994978372</v>
      </c>
      <c r="S12" s="19">
        <f t="shared" si="18"/>
        <v>11000460.921302753</v>
      </c>
      <c r="T12" s="19">
        <f t="shared" si="19"/>
        <v>990041.48291724769</v>
      </c>
      <c r="U12" s="39">
        <f t="shared" si="20"/>
        <v>596359664.47053587</v>
      </c>
      <c r="V12" s="19">
        <f t="shared" si="21"/>
        <v>53672369.802348226</v>
      </c>
      <c r="W12" s="19">
        <f t="shared" si="22"/>
        <v>30876460.324131519</v>
      </c>
      <c r="X12" s="19">
        <f t="shared" si="23"/>
        <v>22795909.478216708</v>
      </c>
      <c r="Y12" s="39">
        <f t="shared" si="28"/>
        <v>17843382.722958844</v>
      </c>
      <c r="Z12" s="19">
        <f t="shared" si="29"/>
        <v>13033077.601172674</v>
      </c>
      <c r="AA12" s="19">
        <f t="shared" si="30"/>
        <v>77820386.729614675</v>
      </c>
      <c r="AB12" s="19">
        <f t="shared" si="31"/>
        <v>7003834.8056653207</v>
      </c>
      <c r="AC12" s="39">
        <f t="shared" si="24"/>
        <v>674180051.20015061</v>
      </c>
      <c r="AD12" s="19">
        <f t="shared" si="25"/>
        <v>60676204.608013555</v>
      </c>
      <c r="AE12" s="19">
        <f t="shared" si="26"/>
        <v>17843382.722958844</v>
      </c>
      <c r="AF12" s="87">
        <f t="shared" si="27"/>
        <v>42832821.885054708</v>
      </c>
      <c r="AG12" s="57">
        <f>Summary!R12</f>
        <v>5.5E-2</v>
      </c>
      <c r="AH12" s="57">
        <f>Summary!S12</f>
        <v>0</v>
      </c>
      <c r="AI12" s="57">
        <f>Summary!T12</f>
        <v>5.5E-2</v>
      </c>
      <c r="AJ12" s="57">
        <f>Summary!U12</f>
        <v>0</v>
      </c>
      <c r="AK12" s="57">
        <f>Summary!V12</f>
        <v>1</v>
      </c>
      <c r="AL12" s="57">
        <f>Summary!W12</f>
        <v>3.3000000000000002E-2</v>
      </c>
      <c r="AM12" s="57">
        <f>Summary!X12</f>
        <v>1</v>
      </c>
      <c r="AN12" s="57">
        <f>Summary!Y12</f>
        <v>1</v>
      </c>
      <c r="AO12" s="57">
        <f>Summary!Z12</f>
        <v>0.09</v>
      </c>
      <c r="AP12" s="57">
        <f>Summary!AA12</f>
        <v>4.2500000000000003E-2</v>
      </c>
      <c r="AQ12" s="57">
        <f>Summary!AB12</f>
        <v>3.3000000000000002E-2</v>
      </c>
    </row>
    <row r="13" spans="1:43">
      <c r="A13" s="23" t="s">
        <v>14</v>
      </c>
      <c r="B13" s="55"/>
      <c r="C13" s="6">
        <f t="shared" si="8"/>
        <v>11</v>
      </c>
      <c r="D13" s="21">
        <f t="shared" si="9"/>
        <v>0</v>
      </c>
      <c r="E13" s="21">
        <f t="shared" si="10"/>
        <v>50515741.327613354</v>
      </c>
      <c r="F13" s="21">
        <f t="shared" si="11"/>
        <v>50515741.327613354</v>
      </c>
      <c r="G13" s="21">
        <f t="shared" si="12"/>
        <v>12452189.597237479</v>
      </c>
      <c r="H13" s="21">
        <f>'CapEx Estimates'!E13</f>
        <v>8837862.6250595376</v>
      </c>
      <c r="I13" s="20">
        <f t="shared" si="13"/>
        <v>29225689.105316333</v>
      </c>
      <c r="J13" s="21">
        <f t="shared" si="14"/>
        <v>636209731.34795105</v>
      </c>
      <c r="K13" s="21">
        <f t="shared" si="2"/>
        <v>57258875.821315594</v>
      </c>
      <c r="L13" s="21">
        <f t="shared" si="3"/>
        <v>27038913.582287923</v>
      </c>
      <c r="M13" s="21">
        <f t="shared" si="4"/>
        <v>30219962.239027672</v>
      </c>
      <c r="N13" s="39">
        <f t="shared" si="15"/>
        <v>50515741.327613354</v>
      </c>
      <c r="O13" s="19">
        <f t="shared" si="5"/>
        <v>21290052.222297017</v>
      </c>
      <c r="P13" s="19">
        <f t="shared" si="16"/>
        <v>29225689.105316337</v>
      </c>
      <c r="Q13" s="19">
        <f t="shared" si="17"/>
        <v>27038913.582287923</v>
      </c>
      <c r="R13" s="19">
        <f t="shared" si="7"/>
        <v>2186775.5230284147</v>
      </c>
      <c r="S13" s="19">
        <f t="shared" si="18"/>
        <v>17054157.399198372</v>
      </c>
      <c r="T13" s="19">
        <f t="shared" si="19"/>
        <v>1534874.1659278534</v>
      </c>
      <c r="U13" s="39">
        <f t="shared" si="20"/>
        <v>619155573.94875264</v>
      </c>
      <c r="V13" s="19">
        <f t="shared" si="21"/>
        <v>55724001.655387737</v>
      </c>
      <c r="W13" s="19">
        <f t="shared" si="22"/>
        <v>29225689.105316337</v>
      </c>
      <c r="X13" s="19">
        <f t="shared" si="23"/>
        <v>26498312.5500714</v>
      </c>
      <c r="Y13" s="39">
        <f t="shared" si="28"/>
        <v>18432214.352816485</v>
      </c>
      <c r="Z13" s="19">
        <f t="shared" si="29"/>
        <v>10793474.752499852</v>
      </c>
      <c r="AA13" s="19">
        <f t="shared" si="30"/>
        <v>97857299.13645266</v>
      </c>
      <c r="AB13" s="19">
        <f t="shared" si="31"/>
        <v>8807156.92228074</v>
      </c>
      <c r="AC13" s="39">
        <f t="shared" si="24"/>
        <v>717012873.08520532</v>
      </c>
      <c r="AD13" s="19">
        <f t="shared" si="25"/>
        <v>64531158.577668473</v>
      </c>
      <c r="AE13" s="19">
        <f t="shared" si="26"/>
        <v>18432214.352816485</v>
      </c>
      <c r="AF13" s="87">
        <f t="shared" si="27"/>
        <v>46098944.224851988</v>
      </c>
      <c r="AG13" s="57">
        <f>Summary!R13</f>
        <v>0.04</v>
      </c>
      <c r="AH13" s="57">
        <f>Summary!S13</f>
        <v>0</v>
      </c>
      <c r="AI13" s="57">
        <f>Summary!T13</f>
        <v>0.04</v>
      </c>
      <c r="AJ13" s="57">
        <f>Summary!U13</f>
        <v>0</v>
      </c>
      <c r="AK13" s="57">
        <f>Summary!V13</f>
        <v>1</v>
      </c>
      <c r="AL13" s="57">
        <f>Summary!W13</f>
        <v>3.3000000000000002E-2</v>
      </c>
      <c r="AM13" s="57">
        <f>Summary!X13</f>
        <v>1</v>
      </c>
      <c r="AN13" s="57">
        <f>Summary!Y13</f>
        <v>1</v>
      </c>
      <c r="AO13" s="57">
        <f>Summary!Z13</f>
        <v>0.09</v>
      </c>
      <c r="AP13" s="57">
        <f>Summary!AA13</f>
        <v>4.2500000000000003E-2</v>
      </c>
      <c r="AQ13" s="57">
        <f>Summary!AB13</f>
        <v>3.3000000000000002E-2</v>
      </c>
    </row>
    <row r="14" spans="1:43">
      <c r="A14" s="23" t="s">
        <v>13</v>
      </c>
      <c r="B14" s="55"/>
      <c r="C14" s="6">
        <f t="shared" si="8"/>
        <v>12</v>
      </c>
      <c r="D14" s="21">
        <f t="shared" si="9"/>
        <v>0</v>
      </c>
      <c r="E14" s="21">
        <f t="shared" si="10"/>
        <v>52536370.98071789</v>
      </c>
      <c r="F14" s="21">
        <f t="shared" si="11"/>
        <v>52536370.98071789</v>
      </c>
      <c r="G14" s="21">
        <f t="shared" si="12"/>
        <v>12863111.853946315</v>
      </c>
      <c r="H14" s="21">
        <f>'CapEx Estimates'!E14</f>
        <v>6734025.5022720546</v>
      </c>
      <c r="I14" s="20">
        <f t="shared" si="13"/>
        <v>32939233.624499522</v>
      </c>
      <c r="J14" s="21">
        <f t="shared" si="14"/>
        <v>666429693.58697867</v>
      </c>
      <c r="K14" s="21">
        <f t="shared" si="2"/>
        <v>59978672.422828078</v>
      </c>
      <c r="L14" s="21">
        <f t="shared" si="3"/>
        <v>28323261.977446597</v>
      </c>
      <c r="M14" s="21">
        <f t="shared" si="4"/>
        <v>31655410.445381481</v>
      </c>
      <c r="N14" s="39">
        <f t="shared" si="15"/>
        <v>52536370.98071789</v>
      </c>
      <c r="O14" s="19">
        <f t="shared" si="5"/>
        <v>19597137.356218368</v>
      </c>
      <c r="P14" s="19">
        <f t="shared" si="16"/>
        <v>32939233.624499522</v>
      </c>
      <c r="Q14" s="19">
        <f t="shared" si="17"/>
        <v>28323261.977446597</v>
      </c>
      <c r="R14" s="19">
        <f t="shared" si="7"/>
        <v>4615971.6470529251</v>
      </c>
      <c r="S14" s="19">
        <f t="shared" si="18"/>
        <v>20775807.08815464</v>
      </c>
      <c r="T14" s="19">
        <f t="shared" si="19"/>
        <v>1869822.6379339176</v>
      </c>
      <c r="U14" s="39">
        <f t="shared" si="20"/>
        <v>645653886.498824</v>
      </c>
      <c r="V14" s="19">
        <f t="shared" si="21"/>
        <v>58108849.784894161</v>
      </c>
      <c r="W14" s="19">
        <f t="shared" si="22"/>
        <v>32939233.624499522</v>
      </c>
      <c r="X14" s="19">
        <f t="shared" si="23"/>
        <v>25169616.160394639</v>
      </c>
      <c r="Y14" s="39">
        <f t="shared" si="28"/>
        <v>19040477.426459428</v>
      </c>
      <c r="Z14" s="19">
        <f t="shared" si="29"/>
        <v>13898756.198040094</v>
      </c>
      <c r="AA14" s="19">
        <f t="shared" si="30"/>
        <v>117457930.81123325</v>
      </c>
      <c r="AB14" s="19">
        <f t="shared" si="31"/>
        <v>10571213.773010992</v>
      </c>
      <c r="AC14" s="39">
        <f t="shared" si="24"/>
        <v>763111817.31005728</v>
      </c>
      <c r="AD14" s="19">
        <f t="shared" si="25"/>
        <v>68680063.557905152</v>
      </c>
      <c r="AE14" s="19">
        <f t="shared" si="26"/>
        <v>19040477.426459428</v>
      </c>
      <c r="AF14" s="87">
        <f t="shared" si="27"/>
        <v>49639586.131445721</v>
      </c>
      <c r="AG14" s="57">
        <f>Summary!R14</f>
        <v>0.04</v>
      </c>
      <c r="AH14" s="57">
        <f>Summary!S14</f>
        <v>0</v>
      </c>
      <c r="AI14" s="57">
        <f>Summary!T14</f>
        <v>0.04</v>
      </c>
      <c r="AJ14" s="57">
        <f>Summary!U14</f>
        <v>0</v>
      </c>
      <c r="AK14" s="57">
        <f>Summary!V14</f>
        <v>1</v>
      </c>
      <c r="AL14" s="57">
        <f>Summary!W14</f>
        <v>3.3000000000000002E-2</v>
      </c>
      <c r="AM14" s="57">
        <f>Summary!X14</f>
        <v>1</v>
      </c>
      <c r="AN14" s="57">
        <f>Summary!Y14</f>
        <v>1</v>
      </c>
      <c r="AO14" s="57">
        <f>Summary!Z14</f>
        <v>0.09</v>
      </c>
      <c r="AP14" s="57">
        <f>Summary!AA14</f>
        <v>4.2500000000000003E-2</v>
      </c>
      <c r="AQ14" s="57">
        <f>Summary!AB14</f>
        <v>3.3000000000000002E-2</v>
      </c>
    </row>
    <row r="15" spans="1:43">
      <c r="A15" s="40"/>
      <c r="B15" s="54"/>
      <c r="C15" s="6">
        <f t="shared" si="8"/>
        <v>13</v>
      </c>
      <c r="D15" s="21">
        <f t="shared" si="9"/>
        <v>0</v>
      </c>
      <c r="E15" s="21">
        <f t="shared" si="10"/>
        <v>54637825.819946609</v>
      </c>
      <c r="F15" s="21">
        <f t="shared" si="11"/>
        <v>54637825.819946609</v>
      </c>
      <c r="G15" s="21">
        <f t="shared" si="12"/>
        <v>13287594.545126542</v>
      </c>
      <c r="H15" s="21">
        <f>'CapEx Estimates'!E15</f>
        <v>7133967.8985706503</v>
      </c>
      <c r="I15" s="20">
        <f t="shared" si="13"/>
        <v>34216263.376249418</v>
      </c>
      <c r="J15" s="21">
        <f t="shared" si="14"/>
        <v>698085104.0323602</v>
      </c>
      <c r="K15" s="21">
        <f t="shared" si="2"/>
        <v>62827659.362912416</v>
      </c>
      <c r="L15" s="21">
        <f t="shared" si="3"/>
        <v>29668616.921375312</v>
      </c>
      <c r="M15" s="21">
        <f t="shared" si="4"/>
        <v>33159042.441537105</v>
      </c>
      <c r="N15" s="39">
        <f t="shared" si="15"/>
        <v>54637825.819946609</v>
      </c>
      <c r="O15" s="19">
        <f t="shared" si="5"/>
        <v>20421562.443697192</v>
      </c>
      <c r="P15" s="19">
        <f t="shared" si="16"/>
        <v>34216263.376249418</v>
      </c>
      <c r="Q15" s="19">
        <f t="shared" si="17"/>
        <v>29668616.921375312</v>
      </c>
      <c r="R15" s="19">
        <f t="shared" si="7"/>
        <v>4547646.4548741058</v>
      </c>
      <c r="S15" s="19">
        <f t="shared" si="18"/>
        <v>27261601.373141482</v>
      </c>
      <c r="T15" s="19">
        <f t="shared" si="19"/>
        <v>2453544.1235827333</v>
      </c>
      <c r="U15" s="39">
        <f t="shared" si="20"/>
        <v>670823502.65921867</v>
      </c>
      <c r="V15" s="19">
        <f t="shared" si="21"/>
        <v>60374115.239329681</v>
      </c>
      <c r="W15" s="19">
        <f t="shared" si="22"/>
        <v>34216263.376249418</v>
      </c>
      <c r="X15" s="19">
        <f t="shared" si="23"/>
        <v>26157851.863080263</v>
      </c>
      <c r="Y15" s="39">
        <f t="shared" si="28"/>
        <v>19668813.181532588</v>
      </c>
      <c r="Z15" s="19">
        <f t="shared" si="29"/>
        <v>14547450.19471683</v>
      </c>
      <c r="AA15" s="19">
        <f t="shared" si="30"/>
        <v>141927900.78228435</v>
      </c>
      <c r="AB15" s="19">
        <f t="shared" si="31"/>
        <v>12773511.070405591</v>
      </c>
      <c r="AC15" s="39">
        <f t="shared" si="24"/>
        <v>812751403.44150305</v>
      </c>
      <c r="AD15" s="19">
        <f t="shared" si="25"/>
        <v>73147626.309735268</v>
      </c>
      <c r="AE15" s="19">
        <f t="shared" si="26"/>
        <v>19668813.181532588</v>
      </c>
      <c r="AF15" s="87">
        <f t="shared" si="27"/>
        <v>53478813.128202677</v>
      </c>
      <c r="AG15" s="57">
        <f>Summary!R15</f>
        <v>0.04</v>
      </c>
      <c r="AH15" s="57">
        <f>Summary!S15</f>
        <v>0</v>
      </c>
      <c r="AI15" s="57">
        <f>Summary!T15</f>
        <v>0.04</v>
      </c>
      <c r="AJ15" s="57">
        <f>Summary!U15</f>
        <v>0</v>
      </c>
      <c r="AK15" s="57">
        <f>Summary!V15</f>
        <v>1</v>
      </c>
      <c r="AL15" s="57">
        <f>Summary!W15</f>
        <v>3.3000000000000002E-2</v>
      </c>
      <c r="AM15" s="57">
        <f>Summary!X15</f>
        <v>1</v>
      </c>
      <c r="AN15" s="57">
        <f>Summary!Y15</f>
        <v>1</v>
      </c>
      <c r="AO15" s="57">
        <f>Summary!Z15</f>
        <v>0.09</v>
      </c>
      <c r="AP15" s="57">
        <f>Summary!AA15</f>
        <v>4.2500000000000003E-2</v>
      </c>
      <c r="AQ15" s="57">
        <f>Summary!AB15</f>
        <v>3.3000000000000002E-2</v>
      </c>
    </row>
    <row r="16" spans="1:43">
      <c r="A16" s="23" t="s">
        <v>9</v>
      </c>
      <c r="B16" s="55"/>
      <c r="C16" s="6">
        <f t="shared" si="8"/>
        <v>14</v>
      </c>
      <c r="D16" s="21">
        <f t="shared" si="9"/>
        <v>0</v>
      </c>
      <c r="E16" s="21">
        <f t="shared" si="10"/>
        <v>56823338.852744475</v>
      </c>
      <c r="F16" s="21">
        <f t="shared" si="11"/>
        <v>56823338.852744475</v>
      </c>
      <c r="G16" s="21">
        <f t="shared" si="12"/>
        <v>13726085.165115718</v>
      </c>
      <c r="H16" s="21">
        <f>'CapEx Estimates'!E16</f>
        <v>7459918.5751670487</v>
      </c>
      <c r="I16" s="20">
        <f t="shared" si="13"/>
        <v>35637335.112461716</v>
      </c>
      <c r="J16" s="21">
        <f t="shared" si="14"/>
        <v>731244146.47389734</v>
      </c>
      <c r="K16" s="21">
        <f t="shared" si="2"/>
        <v>65811973.18265076</v>
      </c>
      <c r="L16" s="21">
        <f t="shared" si="3"/>
        <v>31077876.225140639</v>
      </c>
      <c r="M16" s="21">
        <f t="shared" si="4"/>
        <v>34734096.957510121</v>
      </c>
      <c r="N16" s="39">
        <f t="shared" si="15"/>
        <v>56823338.852744475</v>
      </c>
      <c r="O16" s="19">
        <f t="shared" si="5"/>
        <v>21186003.740282767</v>
      </c>
      <c r="P16" s="19">
        <f t="shared" si="16"/>
        <v>35637335.112461708</v>
      </c>
      <c r="Q16" s="19">
        <f t="shared" si="17"/>
        <v>31077876.225140639</v>
      </c>
      <c r="R16" s="19">
        <f t="shared" si="7"/>
        <v>4559458.8873210698</v>
      </c>
      <c r="S16" s="19">
        <f t="shared" si="18"/>
        <v>34262791.951598324</v>
      </c>
      <c r="T16" s="19">
        <f t="shared" si="19"/>
        <v>3083651.2756438488</v>
      </c>
      <c r="U16" s="39">
        <f t="shared" si="20"/>
        <v>696981354.52229893</v>
      </c>
      <c r="V16" s="19">
        <f t="shared" si="21"/>
        <v>62728321.907006904</v>
      </c>
      <c r="W16" s="19">
        <f t="shared" si="22"/>
        <v>35637335.112461708</v>
      </c>
      <c r="X16" s="19">
        <f t="shared" si="23"/>
        <v>27090986.794545196</v>
      </c>
      <c r="Y16" s="39">
        <f t="shared" si="28"/>
        <v>20317884.01652316</v>
      </c>
      <c r="Z16" s="19">
        <f t="shared" si="29"/>
        <v>15319451.095938548</v>
      </c>
      <c r="AA16" s="19">
        <f t="shared" si="30"/>
        <v>169248862.04740679</v>
      </c>
      <c r="AB16" s="19">
        <f t="shared" si="31"/>
        <v>15232397.58426661</v>
      </c>
      <c r="AC16" s="39">
        <f t="shared" si="24"/>
        <v>866230216.56970572</v>
      </c>
      <c r="AD16" s="19">
        <f t="shared" si="25"/>
        <v>77960719.491273507</v>
      </c>
      <c r="AE16" s="19">
        <f t="shared" si="26"/>
        <v>20317884.01652316</v>
      </c>
      <c r="AF16" s="87">
        <f t="shared" si="27"/>
        <v>57642835.474750347</v>
      </c>
      <c r="AG16" s="57">
        <f>Summary!R16</f>
        <v>0.04</v>
      </c>
      <c r="AH16" s="57">
        <f>Summary!S16</f>
        <v>0</v>
      </c>
      <c r="AI16" s="57">
        <f>Summary!T16</f>
        <v>0.04</v>
      </c>
      <c r="AJ16" s="57">
        <f>Summary!U16</f>
        <v>0</v>
      </c>
      <c r="AK16" s="57">
        <f>Summary!V16</f>
        <v>1</v>
      </c>
      <c r="AL16" s="57">
        <f>Summary!W16</f>
        <v>3.3000000000000002E-2</v>
      </c>
      <c r="AM16" s="57">
        <f>Summary!X16</f>
        <v>1</v>
      </c>
      <c r="AN16" s="57">
        <f>Summary!Y16</f>
        <v>1</v>
      </c>
      <c r="AO16" s="57">
        <f>Summary!Z16</f>
        <v>0.09</v>
      </c>
      <c r="AP16" s="57">
        <f>Summary!AA16</f>
        <v>4.2500000000000003E-2</v>
      </c>
      <c r="AQ16" s="57">
        <f>Summary!AB16</f>
        <v>3.3000000000000002E-2</v>
      </c>
    </row>
    <row r="17" spans="1:43">
      <c r="A17" s="17" t="s">
        <v>15</v>
      </c>
      <c r="B17" s="55">
        <f>Summary!C22</f>
        <v>0.06</v>
      </c>
      <c r="C17" s="6">
        <f t="shared" si="8"/>
        <v>15</v>
      </c>
      <c r="D17" s="21">
        <f t="shared" si="9"/>
        <v>0</v>
      </c>
      <c r="E17" s="21">
        <f t="shared" si="10"/>
        <v>59096272.406854257</v>
      </c>
      <c r="F17" s="21">
        <f t="shared" si="11"/>
        <v>59096272.406854257</v>
      </c>
      <c r="G17" s="21">
        <f t="shared" si="12"/>
        <v>14179045.975564536</v>
      </c>
      <c r="H17" s="21">
        <f>'CapEx Estimates'!E17</f>
        <v>7663034.114966685</v>
      </c>
      <c r="I17" s="20">
        <f t="shared" si="13"/>
        <v>37254192.316323034</v>
      </c>
      <c r="J17" s="21">
        <f t="shared" si="14"/>
        <v>765978243.43140745</v>
      </c>
      <c r="K17" s="21">
        <f t="shared" si="2"/>
        <v>68938041.908826664</v>
      </c>
      <c r="L17" s="21">
        <f t="shared" si="3"/>
        <v>32554075.345834818</v>
      </c>
      <c r="M17" s="21">
        <f t="shared" si="4"/>
        <v>36383966.562991843</v>
      </c>
      <c r="N17" s="39">
        <f t="shared" si="15"/>
        <v>59096272.406854257</v>
      </c>
      <c r="O17" s="19">
        <f t="shared" si="5"/>
        <v>21842080.090531223</v>
      </c>
      <c r="P17" s="19">
        <f t="shared" si="16"/>
        <v>37254192.316323034</v>
      </c>
      <c r="Q17" s="19">
        <f t="shared" si="17"/>
        <v>32554075.345834818</v>
      </c>
      <c r="R17" s="19">
        <f t="shared" si="7"/>
        <v>4700116.9704882167</v>
      </c>
      <c r="S17" s="19">
        <f t="shared" si="18"/>
        <v>41905902.114563242</v>
      </c>
      <c r="T17" s="19">
        <f t="shared" si="19"/>
        <v>3771531.1903106915</v>
      </c>
      <c r="U17" s="39">
        <f t="shared" si="20"/>
        <v>724072341.31684411</v>
      </c>
      <c r="V17" s="19">
        <f t="shared" si="21"/>
        <v>65166510.71851597</v>
      </c>
      <c r="W17" s="19">
        <f t="shared" si="22"/>
        <v>37254192.316323034</v>
      </c>
      <c r="X17" s="19">
        <f t="shared" si="23"/>
        <v>27912318.402192935</v>
      </c>
      <c r="Y17" s="39">
        <f t="shared" si="28"/>
        <v>20988374.189068422</v>
      </c>
      <c r="Z17" s="19">
        <f t="shared" si="29"/>
        <v>16265818.127254613</v>
      </c>
      <c r="AA17" s="19">
        <f t="shared" si="30"/>
        <v>199800710.72761196</v>
      </c>
      <c r="AB17" s="19">
        <f t="shared" si="31"/>
        <v>17982063.965485077</v>
      </c>
      <c r="AC17" s="39">
        <f t="shared" si="24"/>
        <v>923873052.04445612</v>
      </c>
      <c r="AD17" s="19">
        <f t="shared" si="25"/>
        <v>83148574.684001043</v>
      </c>
      <c r="AE17" s="19">
        <f t="shared" si="26"/>
        <v>20988374.189068422</v>
      </c>
      <c r="AF17" s="87">
        <f t="shared" si="27"/>
        <v>62160200.494932622</v>
      </c>
      <c r="AG17" s="57">
        <f>Summary!R17</f>
        <v>0.04</v>
      </c>
      <c r="AH17" s="57">
        <f>Summary!S17</f>
        <v>0</v>
      </c>
      <c r="AI17" s="57">
        <f>Summary!T17</f>
        <v>0.04</v>
      </c>
      <c r="AJ17" s="57">
        <f>Summary!U17</f>
        <v>0</v>
      </c>
      <c r="AK17" s="57">
        <f>Summary!V17</f>
        <v>1</v>
      </c>
      <c r="AL17" s="57">
        <f>Summary!W17</f>
        <v>3.3000000000000002E-2</v>
      </c>
      <c r="AM17" s="57">
        <f>Summary!X17</f>
        <v>1</v>
      </c>
      <c r="AN17" s="57">
        <f>Summary!Y17</f>
        <v>1</v>
      </c>
      <c r="AO17" s="57">
        <f>Summary!Z17</f>
        <v>0.09</v>
      </c>
      <c r="AP17" s="57">
        <f>Summary!AA17</f>
        <v>4.2500000000000003E-2</v>
      </c>
      <c r="AQ17" s="57">
        <f>Summary!AB17</f>
        <v>3.3000000000000002E-2</v>
      </c>
    </row>
    <row r="18" spans="1:43">
      <c r="A18" s="40"/>
      <c r="B18" s="41"/>
      <c r="C18" s="6">
        <f t="shared" si="8"/>
        <v>16</v>
      </c>
      <c r="D18" s="21">
        <f t="shared" si="9"/>
        <v>0</v>
      </c>
      <c r="E18" s="21">
        <f t="shared" si="10"/>
        <v>61460123.303128429</v>
      </c>
      <c r="F18" s="21">
        <f t="shared" si="11"/>
        <v>61460123.303128429</v>
      </c>
      <c r="G18" s="21">
        <f t="shared" si="12"/>
        <v>14646954.492758164</v>
      </c>
      <c r="H18" s="21">
        <f>'CapEx Estimates'!E18</f>
        <v>7579205.0295718722</v>
      </c>
      <c r="I18" s="20">
        <f t="shared" si="13"/>
        <v>39233963.780798391</v>
      </c>
      <c r="J18" s="21">
        <f t="shared" si="14"/>
        <v>802362209.99439931</v>
      </c>
      <c r="K18" s="21">
        <f t="shared" si="2"/>
        <v>72212598.899495929</v>
      </c>
      <c r="L18" s="21">
        <f t="shared" si="3"/>
        <v>34100393.924761973</v>
      </c>
      <c r="M18" s="21">
        <f t="shared" si="4"/>
        <v>38112204.974733956</v>
      </c>
      <c r="N18" s="39">
        <f t="shared" si="15"/>
        <v>61460123.303128429</v>
      </c>
      <c r="O18" s="19">
        <f t="shared" si="5"/>
        <v>22226159.522330038</v>
      </c>
      <c r="P18" s="19">
        <f t="shared" si="16"/>
        <v>39233963.780798391</v>
      </c>
      <c r="Q18" s="19">
        <f t="shared" si="17"/>
        <v>34100393.924761973</v>
      </c>
      <c r="R18" s="19">
        <f t="shared" si="7"/>
        <v>5133569.8560364172</v>
      </c>
      <c r="S18" s="19">
        <f t="shared" si="18"/>
        <v>50377550.275362156</v>
      </c>
      <c r="T18" s="19">
        <f t="shared" si="19"/>
        <v>4533979.5247825943</v>
      </c>
      <c r="U18" s="39">
        <f t="shared" si="20"/>
        <v>751984659.71903706</v>
      </c>
      <c r="V18" s="19">
        <f t="shared" si="21"/>
        <v>67678619.374713331</v>
      </c>
      <c r="W18" s="19">
        <f t="shared" si="22"/>
        <v>39233963.780798391</v>
      </c>
      <c r="X18" s="19">
        <f t="shared" si="23"/>
        <v>28444655.593914941</v>
      </c>
      <c r="Y18" s="39">
        <f t="shared" si="28"/>
        <v>21680990.53730768</v>
      </c>
      <c r="Z18" s="19">
        <f t="shared" si="29"/>
        <v>17552973.243490711</v>
      </c>
      <c r="AA18" s="19">
        <f t="shared" si="30"/>
        <v>234048592.82035163</v>
      </c>
      <c r="AB18" s="19">
        <f t="shared" si="31"/>
        <v>21064373.353831645</v>
      </c>
      <c r="AC18" s="39">
        <f t="shared" si="24"/>
        <v>986033252.53938878</v>
      </c>
      <c r="AD18" s="19">
        <f t="shared" si="25"/>
        <v>88742992.72854498</v>
      </c>
      <c r="AE18" s="19">
        <f t="shared" si="26"/>
        <v>21680990.53730768</v>
      </c>
      <c r="AF18" s="87">
        <f t="shared" si="27"/>
        <v>67062002.191237301</v>
      </c>
      <c r="AG18" s="57">
        <f>Summary!R18</f>
        <v>0.04</v>
      </c>
      <c r="AH18" s="57">
        <f>Summary!S18</f>
        <v>0</v>
      </c>
      <c r="AI18" s="57">
        <f>Summary!T18</f>
        <v>0.04</v>
      </c>
      <c r="AJ18" s="57">
        <f>Summary!U18</f>
        <v>0</v>
      </c>
      <c r="AK18" s="57">
        <f>Summary!V18</f>
        <v>1</v>
      </c>
      <c r="AL18" s="57">
        <f>Summary!W18</f>
        <v>3.3000000000000002E-2</v>
      </c>
      <c r="AM18" s="57">
        <f>Summary!X18</f>
        <v>1</v>
      </c>
      <c r="AN18" s="57">
        <f>Summary!Y18</f>
        <v>1</v>
      </c>
      <c r="AO18" s="57">
        <f>Summary!Z18</f>
        <v>0.09</v>
      </c>
      <c r="AP18" s="57">
        <f>Summary!AA18</f>
        <v>4.2500000000000003E-2</v>
      </c>
      <c r="AQ18" s="57">
        <f>Summary!AB18</f>
        <v>3.3000000000000002E-2</v>
      </c>
    </row>
    <row r="19" spans="1:43">
      <c r="A19" s="10" t="s">
        <v>6</v>
      </c>
      <c r="B19" s="11" t="s">
        <v>5</v>
      </c>
      <c r="C19" s="6">
        <f t="shared" si="8"/>
        <v>17</v>
      </c>
      <c r="D19" s="21">
        <f t="shared" si="9"/>
        <v>0</v>
      </c>
      <c r="E19" s="21">
        <f t="shared" si="10"/>
        <v>63918528.235253565</v>
      </c>
      <c r="F19" s="21">
        <f t="shared" si="11"/>
        <v>63918528.235253565</v>
      </c>
      <c r="G19" s="21">
        <f t="shared" si="12"/>
        <v>15130303.991019182</v>
      </c>
      <c r="H19" s="21">
        <f>'CapEx Estimates'!E19</f>
        <v>7859017.7715928499</v>
      </c>
      <c r="I19" s="20">
        <f t="shared" si="13"/>
        <v>40929206.472641535</v>
      </c>
      <c r="J19" s="21">
        <f t="shared" si="14"/>
        <v>840474414.96913326</v>
      </c>
      <c r="K19" s="21">
        <f t="shared" si="2"/>
        <v>75642697.347221985</v>
      </c>
      <c r="L19" s="21">
        <f t="shared" si="3"/>
        <v>35720162.636188164</v>
      </c>
      <c r="M19" s="21">
        <f t="shared" si="4"/>
        <v>39922534.711033821</v>
      </c>
      <c r="N19" s="39">
        <f t="shared" si="15"/>
        <v>63918528.235253565</v>
      </c>
      <c r="O19" s="19">
        <f t="shared" si="5"/>
        <v>22989321.76261203</v>
      </c>
      <c r="P19" s="19">
        <f t="shared" si="16"/>
        <v>40929206.472641535</v>
      </c>
      <c r="Q19" s="19">
        <f t="shared" si="17"/>
        <v>35720162.636188164</v>
      </c>
      <c r="R19" s="19">
        <f t="shared" si="7"/>
        <v>5209043.8364533707</v>
      </c>
      <c r="S19" s="19">
        <f t="shared" si="18"/>
        <v>60045099.656181172</v>
      </c>
      <c r="T19" s="19">
        <f t="shared" si="19"/>
        <v>5404058.9690563055</v>
      </c>
      <c r="U19" s="39">
        <f t="shared" si="20"/>
        <v>780429315.31295204</v>
      </c>
      <c r="V19" s="19">
        <f t="shared" si="21"/>
        <v>70238638.378165677</v>
      </c>
      <c r="W19" s="19">
        <f t="shared" si="22"/>
        <v>40929206.472641535</v>
      </c>
      <c r="X19" s="19">
        <f t="shared" si="23"/>
        <v>29309431.905524142</v>
      </c>
      <c r="Y19" s="39">
        <f t="shared" si="28"/>
        <v>22396463.22503883</v>
      </c>
      <c r="Z19" s="19">
        <f t="shared" si="29"/>
        <v>18532743.247602705</v>
      </c>
      <c r="AA19" s="19">
        <f t="shared" si="30"/>
        <v>272665939.41767401</v>
      </c>
      <c r="AB19" s="19">
        <f t="shared" si="31"/>
        <v>24539934.547590658</v>
      </c>
      <c r="AC19" s="39">
        <f t="shared" si="24"/>
        <v>1053095254.7306261</v>
      </c>
      <c r="AD19" s="19">
        <f t="shared" si="25"/>
        <v>94778572.92575635</v>
      </c>
      <c r="AE19" s="19">
        <f t="shared" si="26"/>
        <v>22396463.22503883</v>
      </c>
      <c r="AF19" s="87">
        <f t="shared" si="27"/>
        <v>72382109.700717524</v>
      </c>
      <c r="AG19" s="57">
        <f>Summary!R19</f>
        <v>0.04</v>
      </c>
      <c r="AH19" s="57">
        <f>Summary!S19</f>
        <v>0</v>
      </c>
      <c r="AI19" s="57">
        <f>Summary!T19</f>
        <v>0.04</v>
      </c>
      <c r="AJ19" s="57">
        <f>Summary!U19</f>
        <v>0</v>
      </c>
      <c r="AK19" s="57">
        <f>Summary!V19</f>
        <v>1</v>
      </c>
      <c r="AL19" s="57">
        <f>Summary!W19</f>
        <v>3.3000000000000002E-2</v>
      </c>
      <c r="AM19" s="57">
        <f>Summary!X19</f>
        <v>1</v>
      </c>
      <c r="AN19" s="57">
        <f>Summary!Y19</f>
        <v>1</v>
      </c>
      <c r="AO19" s="57">
        <f>Summary!Z19</f>
        <v>0.09</v>
      </c>
      <c r="AP19" s="57">
        <f>Summary!AA19</f>
        <v>4.2500000000000003E-2</v>
      </c>
      <c r="AQ19" s="57">
        <f>Summary!AB19</f>
        <v>3.3000000000000002E-2</v>
      </c>
    </row>
    <row r="20" spans="1:43">
      <c r="A20" s="23"/>
      <c r="B20" s="12"/>
      <c r="C20" s="6">
        <f t="shared" si="8"/>
        <v>18</v>
      </c>
      <c r="D20" s="21">
        <f t="shared" si="9"/>
        <v>0</v>
      </c>
      <c r="E20" s="21">
        <f t="shared" si="10"/>
        <v>66475269.364663713</v>
      </c>
      <c r="F20" s="21">
        <f t="shared" si="11"/>
        <v>66475269.364663713</v>
      </c>
      <c r="G20" s="21">
        <f t="shared" si="12"/>
        <v>15629604.022722814</v>
      </c>
      <c r="H20" s="21">
        <f>'CapEx Estimates'!E20</f>
        <v>8106790.4578223759</v>
      </c>
      <c r="I20" s="20">
        <f t="shared" si="13"/>
        <v>42738874.88411852</v>
      </c>
      <c r="J20" s="21">
        <f t="shared" si="14"/>
        <v>880396949.68016708</v>
      </c>
      <c r="K20" s="21">
        <f t="shared" si="2"/>
        <v>79235725.471215039</v>
      </c>
      <c r="L20" s="21">
        <f t="shared" si="3"/>
        <v>37416870.361407101</v>
      </c>
      <c r="M20" s="21">
        <f t="shared" si="4"/>
        <v>41818855.109807938</v>
      </c>
      <c r="N20" s="39">
        <f t="shared" si="15"/>
        <v>66475269.364663713</v>
      </c>
      <c r="O20" s="19">
        <f t="shared" si="5"/>
        <v>23736394.480545189</v>
      </c>
      <c r="P20" s="19">
        <f t="shared" si="16"/>
        <v>42738874.884118527</v>
      </c>
      <c r="Q20" s="19">
        <f t="shared" si="17"/>
        <v>37416870.361407101</v>
      </c>
      <c r="R20" s="19">
        <f t="shared" si="7"/>
        <v>5322004.522711426</v>
      </c>
      <c r="S20" s="19">
        <f t="shared" si="18"/>
        <v>70658202.461690843</v>
      </c>
      <c r="T20" s="19">
        <f t="shared" si="19"/>
        <v>6359238.2215521755</v>
      </c>
      <c r="U20" s="39">
        <f t="shared" si="20"/>
        <v>809738747.21847618</v>
      </c>
      <c r="V20" s="19">
        <f t="shared" si="21"/>
        <v>72876487.249662846</v>
      </c>
      <c r="W20" s="19">
        <f t="shared" si="22"/>
        <v>42738874.884118527</v>
      </c>
      <c r="X20" s="19">
        <f t="shared" si="23"/>
        <v>30137612.365544319</v>
      </c>
      <c r="Y20" s="39">
        <f t="shared" si="28"/>
        <v>23135546.51146511</v>
      </c>
      <c r="Z20" s="19">
        <f t="shared" si="29"/>
        <v>19603328.372653417</v>
      </c>
      <c r="AA20" s="19">
        <f t="shared" si="30"/>
        <v>315738617.21286738</v>
      </c>
      <c r="AB20" s="19">
        <f t="shared" si="31"/>
        <v>28416475.549158063</v>
      </c>
      <c r="AC20" s="39">
        <f t="shared" si="24"/>
        <v>1125477364.4313436</v>
      </c>
      <c r="AD20" s="19">
        <f t="shared" si="25"/>
        <v>101292962.79882091</v>
      </c>
      <c r="AE20" s="19">
        <f t="shared" si="26"/>
        <v>23135546.51146511</v>
      </c>
      <c r="AF20" s="87">
        <f t="shared" si="27"/>
        <v>78157416.28735581</v>
      </c>
      <c r="AG20" s="57">
        <f>Summary!R20</f>
        <v>0.04</v>
      </c>
      <c r="AH20" s="57">
        <f>Summary!S20</f>
        <v>0</v>
      </c>
      <c r="AI20" s="57">
        <f>Summary!T20</f>
        <v>0.04</v>
      </c>
      <c r="AJ20" s="57">
        <f>Summary!U20</f>
        <v>0</v>
      </c>
      <c r="AK20" s="57">
        <f>Summary!V20</f>
        <v>1</v>
      </c>
      <c r="AL20" s="57">
        <f>Summary!W20</f>
        <v>3.3000000000000002E-2</v>
      </c>
      <c r="AM20" s="57">
        <f>Summary!X20</f>
        <v>1</v>
      </c>
      <c r="AN20" s="57">
        <f>Summary!Y20</f>
        <v>1</v>
      </c>
      <c r="AO20" s="57">
        <f>Summary!Z20</f>
        <v>0.09</v>
      </c>
      <c r="AP20" s="57">
        <f>Summary!AA20</f>
        <v>4.2500000000000003E-2</v>
      </c>
      <c r="AQ20" s="57">
        <f>Summary!AB20</f>
        <v>3.3000000000000002E-2</v>
      </c>
    </row>
    <row r="21" spans="1:43">
      <c r="A21" s="16" t="s">
        <v>21</v>
      </c>
      <c r="B21" s="9">
        <f>J53</f>
        <v>4071566882.7076306</v>
      </c>
      <c r="C21" s="6">
        <f t="shared" si="8"/>
        <v>19</v>
      </c>
      <c r="D21" s="21">
        <f t="shared" si="9"/>
        <v>0</v>
      </c>
      <c r="E21" s="21">
        <f t="shared" si="10"/>
        <v>69134280.139250264</v>
      </c>
      <c r="F21" s="21">
        <f t="shared" si="11"/>
        <v>69134280.139250264</v>
      </c>
      <c r="G21" s="21">
        <f t="shared" si="12"/>
        <v>16145380.955472665</v>
      </c>
      <c r="H21" s="21">
        <f>'CapEx Estimates'!E21</f>
        <v>8319088.6273715636</v>
      </c>
      <c r="I21" s="20">
        <f t="shared" si="13"/>
        <v>44669810.556406036</v>
      </c>
      <c r="J21" s="21">
        <f t="shared" si="14"/>
        <v>922215804.78997505</v>
      </c>
      <c r="K21" s="21">
        <f t="shared" si="2"/>
        <v>82999422.431097746</v>
      </c>
      <c r="L21" s="21">
        <f t="shared" si="3"/>
        <v>39194171.703573942</v>
      </c>
      <c r="M21" s="21">
        <f t="shared" si="4"/>
        <v>43805250.727523804</v>
      </c>
      <c r="N21" s="39">
        <f t="shared" si="15"/>
        <v>69134280.139250264</v>
      </c>
      <c r="O21" s="19">
        <f t="shared" si="5"/>
        <v>24464469.582844228</v>
      </c>
      <c r="P21" s="19">
        <f t="shared" si="16"/>
        <v>44669810.556406036</v>
      </c>
      <c r="Q21" s="19">
        <f t="shared" si="17"/>
        <v>39194171.703573942</v>
      </c>
      <c r="R21" s="19">
        <f t="shared" si="7"/>
        <v>5475638.8528320938</v>
      </c>
      <c r="S21" s="19">
        <f t="shared" si="18"/>
        <v>82339445.205954447</v>
      </c>
      <c r="T21" s="19">
        <f t="shared" si="19"/>
        <v>7410550.0685358997</v>
      </c>
      <c r="U21" s="39">
        <f t="shared" si="20"/>
        <v>839876359.5840205</v>
      </c>
      <c r="V21" s="19">
        <f t="shared" si="21"/>
        <v>75588872.362561837</v>
      </c>
      <c r="W21" s="19">
        <f t="shared" si="22"/>
        <v>44669810.556406036</v>
      </c>
      <c r="X21" s="19">
        <f t="shared" si="23"/>
        <v>30919061.806155801</v>
      </c>
      <c r="Y21" s="39">
        <f t="shared" si="28"/>
        <v>23899019.546343457</v>
      </c>
      <c r="Z21" s="19">
        <f t="shared" si="29"/>
        <v>20770791.010062579</v>
      </c>
      <c r="AA21" s="19">
        <f t="shared" si="30"/>
        <v>363758421.13467884</v>
      </c>
      <c r="AB21" s="19">
        <f t="shared" si="31"/>
        <v>32738257.902121093</v>
      </c>
      <c r="AC21" s="39">
        <f t="shared" si="24"/>
        <v>1203634780.7186995</v>
      </c>
      <c r="AD21" s="19">
        <f t="shared" si="25"/>
        <v>108327130.26468295</v>
      </c>
      <c r="AE21" s="19">
        <f t="shared" si="26"/>
        <v>23899019.546343457</v>
      </c>
      <c r="AF21" s="87">
        <f t="shared" si="27"/>
        <v>84428110.718339488</v>
      </c>
      <c r="AG21" s="57">
        <f>Summary!R21</f>
        <v>0.04</v>
      </c>
      <c r="AH21" s="57">
        <f>Summary!S21</f>
        <v>0</v>
      </c>
      <c r="AI21" s="57">
        <f>Summary!T21</f>
        <v>0.04</v>
      </c>
      <c r="AJ21" s="57">
        <f>Summary!U21</f>
        <v>0</v>
      </c>
      <c r="AK21" s="57">
        <f>Summary!V21</f>
        <v>1</v>
      </c>
      <c r="AL21" s="57">
        <f>Summary!W21</f>
        <v>3.3000000000000002E-2</v>
      </c>
      <c r="AM21" s="57">
        <f>Summary!X21</f>
        <v>1</v>
      </c>
      <c r="AN21" s="57">
        <f>Summary!Y21</f>
        <v>1</v>
      </c>
      <c r="AO21" s="57">
        <f>Summary!Z21</f>
        <v>0.09</v>
      </c>
      <c r="AP21" s="57">
        <f>Summary!AA21</f>
        <v>4.2500000000000003E-2</v>
      </c>
      <c r="AQ21" s="57">
        <f>Summary!AB21</f>
        <v>3.3000000000000002E-2</v>
      </c>
    </row>
    <row r="22" spans="1:43">
      <c r="A22" s="16" t="s">
        <v>22</v>
      </c>
      <c r="B22" s="9">
        <f>S52</f>
        <v>2195149075.9764824</v>
      </c>
      <c r="C22" s="6">
        <f t="shared" si="8"/>
        <v>20</v>
      </c>
      <c r="D22" s="21">
        <f t="shared" si="9"/>
        <v>0</v>
      </c>
      <c r="E22" s="21">
        <f t="shared" si="10"/>
        <v>71899651.344820276</v>
      </c>
      <c r="F22" s="21">
        <f t="shared" si="11"/>
        <v>71899651.344820276</v>
      </c>
      <c r="G22" s="21">
        <f t="shared" si="12"/>
        <v>16678178.527003262</v>
      </c>
      <c r="H22" s="21">
        <f>'CapEx Estimates'!E22</f>
        <v>8530462.033579452</v>
      </c>
      <c r="I22" s="20">
        <f t="shared" si="13"/>
        <v>46691010.784237564</v>
      </c>
      <c r="J22" s="21">
        <f t="shared" si="14"/>
        <v>966021055.51749885</v>
      </c>
      <c r="K22" s="21">
        <f t="shared" si="2"/>
        <v>86941894.996574894</v>
      </c>
      <c r="L22" s="21">
        <f t="shared" si="3"/>
        <v>41055894.859493703</v>
      </c>
      <c r="M22" s="21">
        <f t="shared" si="4"/>
        <v>45886000.137081191</v>
      </c>
      <c r="N22" s="39">
        <f t="shared" si="15"/>
        <v>71899651.344820276</v>
      </c>
      <c r="O22" s="19">
        <f t="shared" si="5"/>
        <v>25208640.560582712</v>
      </c>
      <c r="P22" s="19">
        <f t="shared" si="16"/>
        <v>46691010.784237564</v>
      </c>
      <c r="Q22" s="19">
        <f t="shared" si="17"/>
        <v>41055894.859493703</v>
      </c>
      <c r="R22" s="19">
        <f t="shared" si="7"/>
        <v>5635115.924743861</v>
      </c>
      <c r="S22" s="19">
        <f t="shared" si="18"/>
        <v>95225634.127322435</v>
      </c>
      <c r="T22" s="19">
        <f t="shared" si="19"/>
        <v>8570307.0714590196</v>
      </c>
      <c r="U22" s="39">
        <f t="shared" si="20"/>
        <v>870795421.3901763</v>
      </c>
      <c r="V22" s="19">
        <f t="shared" si="21"/>
        <v>78371587.925115868</v>
      </c>
      <c r="W22" s="19">
        <f t="shared" si="22"/>
        <v>46691010.784237564</v>
      </c>
      <c r="X22" s="19">
        <f t="shared" si="23"/>
        <v>31680577.140878305</v>
      </c>
      <c r="Y22" s="39">
        <f t="shared" si="28"/>
        <v>24687687.191372789</v>
      </c>
      <c r="Z22" s="19">
        <f t="shared" si="29"/>
        <v>22003323.592864774</v>
      </c>
      <c r="AA22" s="19">
        <f t="shared" si="30"/>
        <v>417267470.04686248</v>
      </c>
      <c r="AB22" s="19">
        <f t="shared" si="31"/>
        <v>37554072.304217622</v>
      </c>
      <c r="AC22" s="39">
        <f t="shared" si="24"/>
        <v>1288062891.4370389</v>
      </c>
      <c r="AD22" s="19">
        <f t="shared" si="25"/>
        <v>115925660.22933349</v>
      </c>
      <c r="AE22" s="19">
        <f t="shared" si="26"/>
        <v>24687687.191372789</v>
      </c>
      <c r="AF22" s="87">
        <f t="shared" si="27"/>
        <v>91237973.037960708</v>
      </c>
      <c r="AG22" s="57">
        <f>Summary!R22</f>
        <v>0.04</v>
      </c>
      <c r="AH22" s="57">
        <f>Summary!S22</f>
        <v>0</v>
      </c>
      <c r="AI22" s="57">
        <f>Summary!T22</f>
        <v>0.04</v>
      </c>
      <c r="AJ22" s="57">
        <f>Summary!U22</f>
        <v>0</v>
      </c>
      <c r="AK22" s="57">
        <f>Summary!V22</f>
        <v>1</v>
      </c>
      <c r="AL22" s="57">
        <f>Summary!W22</f>
        <v>3.3000000000000002E-2</v>
      </c>
      <c r="AM22" s="57">
        <f>Summary!X22</f>
        <v>1</v>
      </c>
      <c r="AN22" s="57">
        <f>Summary!Y22</f>
        <v>1</v>
      </c>
      <c r="AO22" s="57">
        <f>Summary!Z22</f>
        <v>0.09</v>
      </c>
      <c r="AP22" s="57">
        <f>Summary!AA22</f>
        <v>4.2500000000000003E-2</v>
      </c>
      <c r="AQ22" s="57">
        <f>Summary!AB22</f>
        <v>3.3000000000000002E-2</v>
      </c>
    </row>
    <row r="23" spans="1:43">
      <c r="A23" s="23"/>
      <c r="B23" s="12"/>
      <c r="C23" s="6">
        <f t="shared" si="8"/>
        <v>21</v>
      </c>
      <c r="D23" s="21">
        <f t="shared" si="9"/>
        <v>0</v>
      </c>
      <c r="E23" s="21">
        <f t="shared" si="10"/>
        <v>74775637.398613095</v>
      </c>
      <c r="F23" s="21">
        <f t="shared" si="11"/>
        <v>74775637.398613095</v>
      </c>
      <c r="G23" s="21">
        <f t="shared" si="12"/>
        <v>17228558.418394368</v>
      </c>
      <c r="H23" s="21">
        <f>'CapEx Estimates'!E23</f>
        <v>10301340.264360754</v>
      </c>
      <c r="I23" s="20">
        <f t="shared" si="13"/>
        <v>47245738.715857968</v>
      </c>
      <c r="J23" s="21">
        <f t="shared" si="14"/>
        <v>1011907055.65458</v>
      </c>
      <c r="K23" s="21">
        <f t="shared" si="2"/>
        <v>91071635.008912191</v>
      </c>
      <c r="L23" s="21">
        <f t="shared" si="3"/>
        <v>43006049.865319654</v>
      </c>
      <c r="M23" s="21">
        <f t="shared" si="4"/>
        <v>48065585.143592536</v>
      </c>
      <c r="N23" s="39">
        <f t="shared" si="15"/>
        <v>74775637.398613095</v>
      </c>
      <c r="O23" s="19">
        <f t="shared" si="5"/>
        <v>27529898.68275512</v>
      </c>
      <c r="P23" s="19">
        <f t="shared" si="16"/>
        <v>47245738.715857975</v>
      </c>
      <c r="Q23" s="19">
        <f t="shared" si="17"/>
        <v>43006049.865319654</v>
      </c>
      <c r="R23" s="19">
        <f t="shared" si="7"/>
        <v>4239688.8505383208</v>
      </c>
      <c r="S23" s="19">
        <f t="shared" si="18"/>
        <v>109431057.12352532</v>
      </c>
      <c r="T23" s="19">
        <f t="shared" si="19"/>
        <v>9848795.1411172785</v>
      </c>
      <c r="U23" s="39">
        <f t="shared" si="20"/>
        <v>902475998.53105462</v>
      </c>
      <c r="V23" s="19">
        <f t="shared" si="21"/>
        <v>81222839.867794916</v>
      </c>
      <c r="W23" s="19">
        <f t="shared" si="22"/>
        <v>47245738.715857975</v>
      </c>
      <c r="X23" s="19">
        <f t="shared" si="23"/>
        <v>33977101.151936941</v>
      </c>
      <c r="Y23" s="39">
        <f t="shared" si="28"/>
        <v>25502380.868688088</v>
      </c>
      <c r="Z23" s="19">
        <f t="shared" si="29"/>
        <v>21743357.847169887</v>
      </c>
      <c r="AA23" s="19">
        <f t="shared" si="30"/>
        <v>476824865.94394487</v>
      </c>
      <c r="AB23" s="19">
        <f t="shared" si="31"/>
        <v>42914237.934955038</v>
      </c>
      <c r="AC23" s="39">
        <f t="shared" si="24"/>
        <v>1379300864.4749997</v>
      </c>
      <c r="AD23" s="19">
        <f t="shared" si="25"/>
        <v>124137077.80274996</v>
      </c>
      <c r="AE23" s="19">
        <f t="shared" si="26"/>
        <v>25502380.868688088</v>
      </c>
      <c r="AF23" s="87">
        <f t="shared" si="27"/>
        <v>98634696.93406187</v>
      </c>
      <c r="AG23" s="57">
        <f>Summary!R23</f>
        <v>0.04</v>
      </c>
      <c r="AH23" s="57">
        <f>Summary!S23</f>
        <v>0</v>
      </c>
      <c r="AI23" s="57">
        <f>Summary!T23</f>
        <v>0.04</v>
      </c>
      <c r="AJ23" s="57">
        <f>Summary!U23</f>
        <v>0</v>
      </c>
      <c r="AK23" s="57">
        <f>Summary!V23</f>
        <v>1</v>
      </c>
      <c r="AL23" s="57">
        <f>Summary!W23</f>
        <v>3.3000000000000002E-2</v>
      </c>
      <c r="AM23" s="57">
        <f>Summary!X23</f>
        <v>1</v>
      </c>
      <c r="AN23" s="57">
        <f>Summary!Y23</f>
        <v>1</v>
      </c>
      <c r="AO23" s="57">
        <f>Summary!Z23</f>
        <v>0.09</v>
      </c>
      <c r="AP23" s="57">
        <f>Summary!AA23</f>
        <v>4.2500000000000003E-2</v>
      </c>
      <c r="AQ23" s="57">
        <f>Summary!AB23</f>
        <v>3.3000000000000002E-2</v>
      </c>
    </row>
    <row r="24" spans="1:43">
      <c r="A24" s="23"/>
      <c r="B24" s="20"/>
      <c r="C24" s="6">
        <f t="shared" si="8"/>
        <v>22</v>
      </c>
      <c r="D24" s="21">
        <f t="shared" si="9"/>
        <v>0</v>
      </c>
      <c r="E24" s="21">
        <f t="shared" si="10"/>
        <v>77766662.894557625</v>
      </c>
      <c r="F24" s="21">
        <f t="shared" si="11"/>
        <v>77766662.894557625</v>
      </c>
      <c r="G24" s="21">
        <f t="shared" si="12"/>
        <v>17797100.846201383</v>
      </c>
      <c r="H24" s="21">
        <f>'CapEx Estimates'!E24</f>
        <v>7426678.8532989472</v>
      </c>
      <c r="I24" s="20">
        <f t="shared" si="13"/>
        <v>52542883.195057295</v>
      </c>
      <c r="J24" s="21">
        <f t="shared" si="14"/>
        <v>1059972640.7981725</v>
      </c>
      <c r="K24" s="21">
        <f t="shared" si="2"/>
        <v>95397537.671835512</v>
      </c>
      <c r="L24" s="21">
        <f t="shared" si="3"/>
        <v>45048837.233922333</v>
      </c>
      <c r="M24" s="21">
        <f t="shared" si="4"/>
        <v>50348700.437913179</v>
      </c>
      <c r="N24" s="39">
        <f t="shared" si="15"/>
        <v>77766662.894557625</v>
      </c>
      <c r="O24" s="19">
        <f t="shared" si="5"/>
        <v>25223779.69950033</v>
      </c>
      <c r="P24" s="19">
        <f t="shared" si="16"/>
        <v>52542883.195057295</v>
      </c>
      <c r="Q24" s="19">
        <f t="shared" si="17"/>
        <v>45048837.233922333</v>
      </c>
      <c r="R24" s="19">
        <f t="shared" si="7"/>
        <v>7494045.9611349627</v>
      </c>
      <c r="S24" s="19">
        <f t="shared" si="18"/>
        <v>123519541.11518091</v>
      </c>
      <c r="T24" s="19">
        <f t="shared" si="19"/>
        <v>11116758.700366281</v>
      </c>
      <c r="U24" s="39">
        <f t="shared" si="20"/>
        <v>936453099.6829915</v>
      </c>
      <c r="V24" s="19">
        <f t="shared" si="21"/>
        <v>84280778.971469238</v>
      </c>
      <c r="W24" s="19">
        <f t="shared" si="22"/>
        <v>52542883.195057295</v>
      </c>
      <c r="X24" s="19">
        <f t="shared" si="23"/>
        <v>31737895.776411943</v>
      </c>
      <c r="Y24" s="39">
        <f t="shared" si="28"/>
        <v>26343959.437354792</v>
      </c>
      <c r="Z24" s="19">
        <f t="shared" si="29"/>
        <v>26198923.757702503</v>
      </c>
      <c r="AA24" s="19">
        <f t="shared" si="30"/>
        <v>541482461.72606981</v>
      </c>
      <c r="AB24" s="19">
        <f t="shared" si="31"/>
        <v>48733421.55534628</v>
      </c>
      <c r="AC24" s="39">
        <f t="shared" si="24"/>
        <v>1477935561.4090614</v>
      </c>
      <c r="AD24" s="19">
        <f t="shared" si="25"/>
        <v>133014200.52681552</v>
      </c>
      <c r="AE24" s="19">
        <f t="shared" si="26"/>
        <v>26343959.437354792</v>
      </c>
      <c r="AF24" s="87">
        <f t="shared" si="27"/>
        <v>106670241.08946073</v>
      </c>
      <c r="AG24" s="57">
        <f>Summary!R24</f>
        <v>0.04</v>
      </c>
      <c r="AH24" s="57">
        <f>Summary!S24</f>
        <v>0</v>
      </c>
      <c r="AI24" s="57">
        <f>Summary!T24</f>
        <v>0.04</v>
      </c>
      <c r="AJ24" s="57">
        <f>Summary!U24</f>
        <v>0</v>
      </c>
      <c r="AK24" s="57">
        <f>Summary!V24</f>
        <v>1</v>
      </c>
      <c r="AL24" s="57">
        <f>Summary!W24</f>
        <v>3.3000000000000002E-2</v>
      </c>
      <c r="AM24" s="57">
        <f>Summary!X24</f>
        <v>1</v>
      </c>
      <c r="AN24" s="57">
        <f>Summary!Y24</f>
        <v>1</v>
      </c>
      <c r="AO24" s="57">
        <f>Summary!Z24</f>
        <v>0.09</v>
      </c>
      <c r="AP24" s="57">
        <f>Summary!AA24</f>
        <v>4.2500000000000003E-2</v>
      </c>
      <c r="AQ24" s="57">
        <f>Summary!AB24</f>
        <v>3.3000000000000002E-2</v>
      </c>
    </row>
    <row r="25" spans="1:43">
      <c r="A25" s="42"/>
      <c r="B25" s="43"/>
      <c r="C25" s="6">
        <f t="shared" si="8"/>
        <v>23</v>
      </c>
      <c r="D25" s="21">
        <f t="shared" si="9"/>
        <v>0</v>
      </c>
      <c r="E25" s="21">
        <f t="shared" si="10"/>
        <v>80877329.410339937</v>
      </c>
      <c r="F25" s="21">
        <f t="shared" si="11"/>
        <v>80877329.410339937</v>
      </c>
      <c r="G25" s="21">
        <f t="shared" si="12"/>
        <v>18384405.174126025</v>
      </c>
      <c r="H25" s="21">
        <f>'CapEx Estimates'!E25</f>
        <v>7915469.3409350049</v>
      </c>
      <c r="I25" s="20">
        <f t="shared" si="13"/>
        <v>54577454.895278901</v>
      </c>
      <c r="J25" s="21">
        <f t="shared" si="14"/>
        <v>1110321341.2360857</v>
      </c>
      <c r="K25" s="21">
        <f t="shared" si="2"/>
        <v>99928920.711247712</v>
      </c>
      <c r="L25" s="21">
        <f t="shared" si="3"/>
        <v>47188657.002533644</v>
      </c>
      <c r="M25" s="21">
        <f t="shared" si="4"/>
        <v>52740263.708714068</v>
      </c>
      <c r="N25" s="39">
        <f t="shared" si="15"/>
        <v>80877329.410339937</v>
      </c>
      <c r="O25" s="19">
        <f t="shared" si="5"/>
        <v>26299874.515061028</v>
      </c>
      <c r="P25" s="19">
        <f t="shared" si="16"/>
        <v>54577454.895278908</v>
      </c>
      <c r="Q25" s="19">
        <f t="shared" si="17"/>
        <v>47188657.002533644</v>
      </c>
      <c r="R25" s="19">
        <f t="shared" si="7"/>
        <v>7388797.8927452639</v>
      </c>
      <c r="S25" s="19">
        <f t="shared" si="18"/>
        <v>142130345.77668217</v>
      </c>
      <c r="T25" s="19">
        <f t="shared" si="19"/>
        <v>12791731.119901394</v>
      </c>
      <c r="U25" s="39">
        <f t="shared" si="20"/>
        <v>968190995.4594034</v>
      </c>
      <c r="V25" s="19">
        <f t="shared" si="21"/>
        <v>87137189.591346309</v>
      </c>
      <c r="W25" s="19">
        <f t="shared" si="22"/>
        <v>54577454.895278908</v>
      </c>
      <c r="X25" s="19">
        <f t="shared" si="23"/>
        <v>32559734.6960674</v>
      </c>
      <c r="Y25" s="39">
        <f t="shared" si="28"/>
        <v>27213310.098787498</v>
      </c>
      <c r="Z25" s="19">
        <f t="shared" si="29"/>
        <v>27364144.796491411</v>
      </c>
      <c r="AA25" s="19">
        <f t="shared" si="30"/>
        <v>616414807.03911853</v>
      </c>
      <c r="AB25" s="19">
        <f t="shared" si="31"/>
        <v>55477332.633520663</v>
      </c>
      <c r="AC25" s="39">
        <f t="shared" si="24"/>
        <v>1584605802.4985223</v>
      </c>
      <c r="AD25" s="19">
        <f t="shared" si="25"/>
        <v>142614522.22486699</v>
      </c>
      <c r="AE25" s="19">
        <f t="shared" si="26"/>
        <v>27213310.098787498</v>
      </c>
      <c r="AF25" s="87">
        <f t="shared" si="27"/>
        <v>115401212.12607948</v>
      </c>
      <c r="AG25" s="57">
        <f>Summary!R25</f>
        <v>0.04</v>
      </c>
      <c r="AH25" s="57">
        <f>Summary!S25</f>
        <v>0</v>
      </c>
      <c r="AI25" s="57">
        <f>Summary!T25</f>
        <v>0.04</v>
      </c>
      <c r="AJ25" s="57">
        <f>Summary!U25</f>
        <v>0</v>
      </c>
      <c r="AK25" s="57">
        <f>Summary!V25</f>
        <v>1</v>
      </c>
      <c r="AL25" s="57">
        <f>Summary!W25</f>
        <v>3.3000000000000002E-2</v>
      </c>
      <c r="AM25" s="57">
        <f>Summary!X25</f>
        <v>1</v>
      </c>
      <c r="AN25" s="57">
        <f>Summary!Y25</f>
        <v>1</v>
      </c>
      <c r="AO25" s="57">
        <f>Summary!Z25</f>
        <v>0.09</v>
      </c>
      <c r="AP25" s="57">
        <f>Summary!AA25</f>
        <v>4.2500000000000003E-2</v>
      </c>
      <c r="AQ25" s="57">
        <f>Summary!AB25</f>
        <v>3.3000000000000002E-2</v>
      </c>
    </row>
    <row r="26" spans="1:43">
      <c r="C26" s="6">
        <f t="shared" si="8"/>
        <v>24</v>
      </c>
      <c r="D26" s="21">
        <f t="shared" si="9"/>
        <v>0</v>
      </c>
      <c r="E26" s="21">
        <f t="shared" si="10"/>
        <v>84112422.586753532</v>
      </c>
      <c r="F26" s="21">
        <f t="shared" si="11"/>
        <v>84112422.586753532</v>
      </c>
      <c r="G26" s="21">
        <f t="shared" si="12"/>
        <v>18991090.544872183</v>
      </c>
      <c r="H26" s="21">
        <f>'CapEx Estimates'!E26</f>
        <v>8303360.1850411231</v>
      </c>
      <c r="I26" s="20">
        <f t="shared" si="13"/>
        <v>56817971.856840231</v>
      </c>
      <c r="J26" s="21">
        <f t="shared" si="14"/>
        <v>1163061604.9447997</v>
      </c>
      <c r="K26" s="21">
        <f t="shared" si="2"/>
        <v>104675544.44503197</v>
      </c>
      <c r="L26" s="21">
        <f t="shared" si="3"/>
        <v>49430118.210153989</v>
      </c>
      <c r="M26" s="21">
        <f t="shared" si="4"/>
        <v>55245426.234877981</v>
      </c>
      <c r="N26" s="39">
        <f t="shared" si="15"/>
        <v>84112422.586753532</v>
      </c>
      <c r="O26" s="19">
        <f t="shared" si="5"/>
        <v>27294450.729913305</v>
      </c>
      <c r="P26" s="19">
        <f t="shared" si="16"/>
        <v>56817971.856840223</v>
      </c>
      <c r="Q26" s="19">
        <f t="shared" si="17"/>
        <v>49430118.210153989</v>
      </c>
      <c r="R26" s="19">
        <f t="shared" si="7"/>
        <v>7387853.6466862336</v>
      </c>
      <c r="S26" s="19">
        <f t="shared" si="18"/>
        <v>162310874.78932881</v>
      </c>
      <c r="T26" s="19">
        <f t="shared" si="19"/>
        <v>14607978.731039593</v>
      </c>
      <c r="U26" s="39">
        <f t="shared" si="20"/>
        <v>1000750730.1554708</v>
      </c>
      <c r="V26" s="19">
        <f t="shared" si="21"/>
        <v>90067565.713992372</v>
      </c>
      <c r="W26" s="19">
        <f t="shared" si="22"/>
        <v>56817971.856840223</v>
      </c>
      <c r="X26" s="19">
        <f t="shared" si="23"/>
        <v>33249593.857152149</v>
      </c>
      <c r="Y26" s="39">
        <f t="shared" si="28"/>
        <v>28111349.332047481</v>
      </c>
      <c r="Z26" s="19">
        <f t="shared" si="29"/>
        <v>28706622.524792742</v>
      </c>
      <c r="AA26" s="19">
        <f t="shared" si="30"/>
        <v>699256284.46913052</v>
      </c>
      <c r="AB26" s="19">
        <f t="shared" si="31"/>
        <v>62933065.602221742</v>
      </c>
      <c r="AC26" s="39">
        <f t="shared" si="24"/>
        <v>1700007014.6246018</v>
      </c>
      <c r="AD26" s="19">
        <f t="shared" si="25"/>
        <v>153000631.31621417</v>
      </c>
      <c r="AE26" s="19">
        <f t="shared" si="26"/>
        <v>28111349.332047481</v>
      </c>
      <c r="AF26" s="87">
        <f t="shared" si="27"/>
        <v>124889281.9841667</v>
      </c>
      <c r="AG26" s="57">
        <f>Summary!R26</f>
        <v>0.04</v>
      </c>
      <c r="AH26" s="57">
        <f>Summary!S26</f>
        <v>0</v>
      </c>
      <c r="AI26" s="57">
        <f>Summary!T26</f>
        <v>0.04</v>
      </c>
      <c r="AJ26" s="57">
        <f>Summary!U26</f>
        <v>0</v>
      </c>
      <c r="AK26" s="57">
        <f>Summary!V26</f>
        <v>1</v>
      </c>
      <c r="AL26" s="57">
        <f>Summary!W26</f>
        <v>3.3000000000000002E-2</v>
      </c>
      <c r="AM26" s="57">
        <f>Summary!X26</f>
        <v>1</v>
      </c>
      <c r="AN26" s="57">
        <f>Summary!Y26</f>
        <v>1</v>
      </c>
      <c r="AO26" s="57">
        <f>Summary!Z26</f>
        <v>0.09</v>
      </c>
      <c r="AP26" s="57">
        <f>Summary!AA26</f>
        <v>4.2500000000000003E-2</v>
      </c>
      <c r="AQ26" s="57">
        <f>Summary!AB26</f>
        <v>3.3000000000000002E-2</v>
      </c>
    </row>
    <row r="27" spans="1:43">
      <c r="A27" s="13"/>
      <c r="B27" s="14"/>
      <c r="C27" s="6">
        <f t="shared" si="8"/>
        <v>25</v>
      </c>
      <c r="D27" s="21">
        <f t="shared" si="9"/>
        <v>0</v>
      </c>
      <c r="E27" s="21">
        <f t="shared" si="10"/>
        <v>87476919.490223676</v>
      </c>
      <c r="F27" s="21">
        <f t="shared" si="11"/>
        <v>87476919.490223676</v>
      </c>
      <c r="G27" s="21">
        <f t="shared" si="12"/>
        <v>19617796.532852963</v>
      </c>
      <c r="H27" s="21">
        <f>'CapEx Estimates'!E27</f>
        <v>8524666.0885761976</v>
      </c>
      <c r="I27" s="20">
        <f t="shared" si="13"/>
        <v>59334456.868794516</v>
      </c>
      <c r="J27" s="21">
        <f t="shared" si="14"/>
        <v>1218307031.1796777</v>
      </c>
      <c r="K27" s="21">
        <f t="shared" si="2"/>
        <v>109647632.80617099</v>
      </c>
      <c r="L27" s="21">
        <f t="shared" si="3"/>
        <v>51778048.825136304</v>
      </c>
      <c r="M27" s="21">
        <f t="shared" si="4"/>
        <v>57869583.981034681</v>
      </c>
      <c r="N27" s="39">
        <f t="shared" si="15"/>
        <v>87476919.490223676</v>
      </c>
      <c r="O27" s="19">
        <f t="shared" si="5"/>
        <v>28142462.62142916</v>
      </c>
      <c r="P27" s="19">
        <f t="shared" si="16"/>
        <v>59334456.868794516</v>
      </c>
      <c r="Q27" s="19">
        <f t="shared" si="17"/>
        <v>51778048.825136304</v>
      </c>
      <c r="R27" s="19">
        <f t="shared" si="7"/>
        <v>7556408.0436582118</v>
      </c>
      <c r="S27" s="19">
        <f t="shared" si="18"/>
        <v>184306707.16705462</v>
      </c>
      <c r="T27" s="19">
        <f t="shared" si="19"/>
        <v>16587603.645034915</v>
      </c>
      <c r="U27" s="39">
        <f t="shared" si="20"/>
        <v>1034000324.012623</v>
      </c>
      <c r="V27" s="19">
        <f t="shared" si="21"/>
        <v>93060029.161136061</v>
      </c>
      <c r="W27" s="19">
        <f t="shared" si="22"/>
        <v>59334456.868794516</v>
      </c>
      <c r="X27" s="19">
        <f t="shared" si="23"/>
        <v>33725572.292341545</v>
      </c>
      <c r="Y27" s="39">
        <f t="shared" si="28"/>
        <v>29039023.860005047</v>
      </c>
      <c r="Z27" s="19">
        <f t="shared" si="29"/>
        <v>30295433.008789469</v>
      </c>
      <c r="AA27" s="19">
        <f t="shared" si="30"/>
        <v>790895972.59614503</v>
      </c>
      <c r="AB27" s="19">
        <f t="shared" si="31"/>
        <v>71180637.533653051</v>
      </c>
      <c r="AC27" s="39">
        <f t="shared" si="24"/>
        <v>1824896296.6087685</v>
      </c>
      <c r="AD27" s="19">
        <f t="shared" si="25"/>
        <v>164240666.69478914</v>
      </c>
      <c r="AE27" s="19">
        <f t="shared" si="26"/>
        <v>29039023.860005047</v>
      </c>
      <c r="AF27" s="87">
        <f t="shared" si="27"/>
        <v>135201642.83478409</v>
      </c>
      <c r="AG27" s="57">
        <f>Summary!R27</f>
        <v>0.04</v>
      </c>
      <c r="AH27" s="57">
        <f>Summary!S27</f>
        <v>0</v>
      </c>
      <c r="AI27" s="57">
        <f>Summary!T27</f>
        <v>0.04</v>
      </c>
      <c r="AJ27" s="57">
        <f>Summary!U27</f>
        <v>0</v>
      </c>
      <c r="AK27" s="57">
        <f>Summary!V27</f>
        <v>1</v>
      </c>
      <c r="AL27" s="57">
        <f>Summary!W27</f>
        <v>3.3000000000000002E-2</v>
      </c>
      <c r="AM27" s="57">
        <f>Summary!X27</f>
        <v>1</v>
      </c>
      <c r="AN27" s="57">
        <f>Summary!Y27</f>
        <v>1</v>
      </c>
      <c r="AO27" s="57">
        <f>Summary!Z27</f>
        <v>0.09</v>
      </c>
      <c r="AP27" s="57">
        <f>Summary!AA27</f>
        <v>4.2500000000000003E-2</v>
      </c>
      <c r="AQ27" s="57">
        <f>Summary!AB27</f>
        <v>3.3000000000000002E-2</v>
      </c>
    </row>
    <row r="28" spans="1:43">
      <c r="C28" s="6">
        <f t="shared" si="8"/>
        <v>26</v>
      </c>
      <c r="D28" s="21">
        <f t="shared" si="9"/>
        <v>0</v>
      </c>
      <c r="E28" s="21">
        <f t="shared" si="10"/>
        <v>90975996.269832626</v>
      </c>
      <c r="F28" s="21">
        <f t="shared" si="11"/>
        <v>90975996.269832626</v>
      </c>
      <c r="G28" s="21">
        <f t="shared" si="12"/>
        <v>20265183.818437111</v>
      </c>
      <c r="H28" s="21">
        <f>'CapEx Estimates'!E28</f>
        <v>8358792.4784286637</v>
      </c>
      <c r="I28" s="20">
        <f t="shared" si="13"/>
        <v>62352019.97296685</v>
      </c>
      <c r="J28" s="21">
        <f t="shared" si="14"/>
        <v>1276176615.1607125</v>
      </c>
      <c r="K28" s="21">
        <f t="shared" si="2"/>
        <v>114855895.36446412</v>
      </c>
      <c r="L28" s="21">
        <f t="shared" si="3"/>
        <v>54237506.144330285</v>
      </c>
      <c r="M28" s="21">
        <f t="shared" si="4"/>
        <v>60618389.220133834</v>
      </c>
      <c r="N28" s="39">
        <f t="shared" si="15"/>
        <v>90975996.269832626</v>
      </c>
      <c r="O28" s="19">
        <f t="shared" si="5"/>
        <v>28623976.296865776</v>
      </c>
      <c r="P28" s="19">
        <f t="shared" si="16"/>
        <v>62352019.97296685</v>
      </c>
      <c r="Q28" s="19">
        <f t="shared" si="17"/>
        <v>54237506.144330285</v>
      </c>
      <c r="R28" s="19">
        <f t="shared" si="7"/>
        <v>8114513.8286365643</v>
      </c>
      <c r="S28" s="19">
        <f t="shared" si="18"/>
        <v>208450718.85574776</v>
      </c>
      <c r="T28" s="19">
        <f t="shared" si="19"/>
        <v>18760564.697017297</v>
      </c>
      <c r="U28" s="39">
        <f t="shared" si="20"/>
        <v>1067725896.3049645</v>
      </c>
      <c r="V28" s="19">
        <f t="shared" si="21"/>
        <v>96095330.667446807</v>
      </c>
      <c r="W28" s="19">
        <f t="shared" si="22"/>
        <v>62352019.97296685</v>
      </c>
      <c r="X28" s="19">
        <f t="shared" si="23"/>
        <v>33743310.694479957</v>
      </c>
      <c r="Y28" s="39">
        <f t="shared" si="28"/>
        <v>29997311.64738521</v>
      </c>
      <c r="Z28" s="19">
        <f t="shared" si="29"/>
        <v>32354708.32558164</v>
      </c>
      <c r="AA28" s="19">
        <f t="shared" si="30"/>
        <v>892372043.13858747</v>
      </c>
      <c r="AB28" s="19">
        <f t="shared" si="31"/>
        <v>80313483.882472873</v>
      </c>
      <c r="AC28" s="39">
        <f t="shared" si="24"/>
        <v>1960097939.4435525</v>
      </c>
      <c r="AD28" s="19">
        <f t="shared" si="25"/>
        <v>176408814.54991972</v>
      </c>
      <c r="AE28" s="19">
        <f t="shared" si="26"/>
        <v>29997311.64738521</v>
      </c>
      <c r="AF28" s="87">
        <f t="shared" si="27"/>
        <v>146411502.90253451</v>
      </c>
      <c r="AG28" s="57">
        <f>Summary!R28</f>
        <v>0.04</v>
      </c>
      <c r="AH28" s="57">
        <f>Summary!S28</f>
        <v>0</v>
      </c>
      <c r="AI28" s="57">
        <f>Summary!T28</f>
        <v>0.04</v>
      </c>
      <c r="AJ28" s="57">
        <f>Summary!U28</f>
        <v>0</v>
      </c>
      <c r="AK28" s="57">
        <f>Summary!V28</f>
        <v>1</v>
      </c>
      <c r="AL28" s="57">
        <f>Summary!W28</f>
        <v>3.3000000000000002E-2</v>
      </c>
      <c r="AM28" s="57">
        <f>Summary!X28</f>
        <v>1</v>
      </c>
      <c r="AN28" s="57">
        <f>Summary!Y28</f>
        <v>1</v>
      </c>
      <c r="AO28" s="57">
        <f>Summary!Z28</f>
        <v>0.09</v>
      </c>
      <c r="AP28" s="57">
        <f>Summary!AA28</f>
        <v>4.2500000000000003E-2</v>
      </c>
      <c r="AQ28" s="57">
        <f>Summary!AB28</f>
        <v>3.3000000000000002E-2</v>
      </c>
    </row>
    <row r="29" spans="1:43">
      <c r="C29" s="6">
        <f t="shared" si="8"/>
        <v>27</v>
      </c>
      <c r="D29" s="21">
        <f t="shared" si="9"/>
        <v>0</v>
      </c>
      <c r="E29" s="21">
        <f t="shared" si="10"/>
        <v>94615036.120625928</v>
      </c>
      <c r="F29" s="21">
        <f t="shared" si="11"/>
        <v>94615036.120625928</v>
      </c>
      <c r="G29" s="21">
        <f t="shared" si="12"/>
        <v>20933934.884445533</v>
      </c>
      <c r="H29" s="21">
        <f>'CapEx Estimates'!E29</f>
        <v>8680026.6464832351</v>
      </c>
      <c r="I29" s="20">
        <f t="shared" si="13"/>
        <v>65001074.58969716</v>
      </c>
      <c r="J29" s="21">
        <f t="shared" si="14"/>
        <v>1336795004.3808463</v>
      </c>
      <c r="K29" s="21">
        <f t="shared" si="2"/>
        <v>120311550.39427616</v>
      </c>
      <c r="L29" s="21">
        <f t="shared" si="3"/>
        <v>56813787.686185971</v>
      </c>
      <c r="M29" s="21">
        <f t="shared" si="4"/>
        <v>63497762.708090186</v>
      </c>
      <c r="N29" s="39">
        <f t="shared" si="15"/>
        <v>94615036.120625928</v>
      </c>
      <c r="O29" s="19">
        <f t="shared" si="5"/>
        <v>29613961.530928768</v>
      </c>
      <c r="P29" s="19">
        <f t="shared" si="16"/>
        <v>65001074.58969716</v>
      </c>
      <c r="Q29" s="19">
        <f t="shared" si="17"/>
        <v>56813787.686185971</v>
      </c>
      <c r="R29" s="19">
        <f t="shared" si="7"/>
        <v>8187286.9035111889</v>
      </c>
      <c r="S29" s="19">
        <f t="shared" si="18"/>
        <v>235325797.3814016</v>
      </c>
      <c r="T29" s="19">
        <f t="shared" si="19"/>
        <v>21179321.764326144</v>
      </c>
      <c r="U29" s="39">
        <f t="shared" si="20"/>
        <v>1101469206.9994445</v>
      </c>
      <c r="V29" s="19">
        <f t="shared" si="21"/>
        <v>99132228.629950002</v>
      </c>
      <c r="W29" s="19">
        <f t="shared" si="22"/>
        <v>65001074.58969716</v>
      </c>
      <c r="X29" s="19">
        <f t="shared" si="23"/>
        <v>34131154.040252842</v>
      </c>
      <c r="Y29" s="39">
        <f t="shared" si="28"/>
        <v>30987222.931748919</v>
      </c>
      <c r="Z29" s="19">
        <f t="shared" si="29"/>
        <v>34013851.657948241</v>
      </c>
      <c r="AA29" s="19">
        <f t="shared" si="30"/>
        <v>1005040235.346642</v>
      </c>
      <c r="AB29" s="19">
        <f t="shared" si="31"/>
        <v>90453621.181197777</v>
      </c>
      <c r="AC29" s="39">
        <f t="shared" si="24"/>
        <v>2106509442.346087</v>
      </c>
      <c r="AD29" s="19">
        <f t="shared" si="25"/>
        <v>189585849.81114781</v>
      </c>
      <c r="AE29" s="19">
        <f t="shared" si="26"/>
        <v>30987222.931748919</v>
      </c>
      <c r="AF29" s="87">
        <f t="shared" si="27"/>
        <v>158598626.87939888</v>
      </c>
      <c r="AG29" s="57">
        <f>Summary!R29</f>
        <v>0.04</v>
      </c>
      <c r="AH29" s="57">
        <f>Summary!S29</f>
        <v>0</v>
      </c>
      <c r="AI29" s="57">
        <f>Summary!T29</f>
        <v>0.04</v>
      </c>
      <c r="AJ29" s="57">
        <f>Summary!U29</f>
        <v>0</v>
      </c>
      <c r="AK29" s="57">
        <f>Summary!V29</f>
        <v>1</v>
      </c>
      <c r="AL29" s="57">
        <f>Summary!W29</f>
        <v>3.3000000000000002E-2</v>
      </c>
      <c r="AM29" s="57">
        <f>Summary!X29</f>
        <v>1</v>
      </c>
      <c r="AN29" s="57">
        <f>Summary!Y29</f>
        <v>1</v>
      </c>
      <c r="AO29" s="57">
        <f>Summary!Z29</f>
        <v>0.09</v>
      </c>
      <c r="AP29" s="57">
        <f>Summary!AA29</f>
        <v>4.2500000000000003E-2</v>
      </c>
      <c r="AQ29" s="57">
        <f>Summary!AB29</f>
        <v>3.3000000000000002E-2</v>
      </c>
    </row>
    <row r="30" spans="1:43">
      <c r="B30" s="20"/>
      <c r="C30" s="6">
        <f t="shared" si="8"/>
        <v>28</v>
      </c>
      <c r="D30" s="21">
        <f t="shared" si="9"/>
        <v>0</v>
      </c>
      <c r="E30" s="21">
        <f t="shared" si="10"/>
        <v>98399637.565450966</v>
      </c>
      <c r="F30" s="21">
        <f t="shared" si="11"/>
        <v>98399637.565450966</v>
      </c>
      <c r="G30" s="21">
        <f t="shared" si="12"/>
        <v>21624754.735632233</v>
      </c>
      <c r="H30" s="21">
        <f>'CapEx Estimates'!E30</f>
        <v>8956557.3359916806</v>
      </c>
      <c r="I30" s="20">
        <f t="shared" si="13"/>
        <v>67818325.493827045</v>
      </c>
      <c r="J30" s="21">
        <f t="shared" si="14"/>
        <v>1400292767.0889363</v>
      </c>
      <c r="K30" s="21">
        <f t="shared" si="2"/>
        <v>126026349.03800426</v>
      </c>
      <c r="L30" s="21">
        <f t="shared" si="3"/>
        <v>59512442.601279795</v>
      </c>
      <c r="M30" s="21">
        <f t="shared" si="4"/>
        <v>66513906.436724469</v>
      </c>
      <c r="N30" s="39">
        <f t="shared" si="15"/>
        <v>98399637.565450966</v>
      </c>
      <c r="O30" s="19">
        <f t="shared" si="5"/>
        <v>30581312.071623914</v>
      </c>
      <c r="P30" s="19">
        <f t="shared" si="16"/>
        <v>67818325.493827045</v>
      </c>
      <c r="Q30" s="19">
        <f t="shared" si="17"/>
        <v>59512442.601279795</v>
      </c>
      <c r="R30" s="19">
        <f t="shared" si="7"/>
        <v>8305882.8925472498</v>
      </c>
      <c r="S30" s="19">
        <f t="shared" si="18"/>
        <v>264692406.04923895</v>
      </c>
      <c r="T30" s="19">
        <f t="shared" si="19"/>
        <v>23822316.544431504</v>
      </c>
      <c r="U30" s="39">
        <f t="shared" si="20"/>
        <v>1135600361.0396974</v>
      </c>
      <c r="V30" s="19">
        <f t="shared" si="21"/>
        <v>102204032.49357276</v>
      </c>
      <c r="W30" s="19">
        <f t="shared" si="22"/>
        <v>67818325.493827045</v>
      </c>
      <c r="X30" s="19">
        <f t="shared" si="23"/>
        <v>34385706.999745712</v>
      </c>
      <c r="Y30" s="39">
        <f t="shared" si="28"/>
        <v>32009801.288496632</v>
      </c>
      <c r="Z30" s="19">
        <f t="shared" si="29"/>
        <v>35808524.205330417</v>
      </c>
      <c r="AA30" s="19">
        <f t="shared" si="30"/>
        <v>1129507708.1857882</v>
      </c>
      <c r="AB30" s="19">
        <f t="shared" si="31"/>
        <v>101655693.73672093</v>
      </c>
      <c r="AC30" s="39">
        <f t="shared" si="24"/>
        <v>2265108069.2254858</v>
      </c>
      <c r="AD30" s="19">
        <f t="shared" si="25"/>
        <v>203859726.23029372</v>
      </c>
      <c r="AE30" s="19">
        <f t="shared" si="26"/>
        <v>32009801.288496632</v>
      </c>
      <c r="AF30" s="87">
        <f t="shared" si="27"/>
        <v>171849924.94179708</v>
      </c>
      <c r="AG30" s="57">
        <f>Summary!R30</f>
        <v>0.04</v>
      </c>
      <c r="AH30" s="57">
        <f>Summary!S30</f>
        <v>0</v>
      </c>
      <c r="AI30" s="57">
        <f>Summary!T30</f>
        <v>0.04</v>
      </c>
      <c r="AJ30" s="57">
        <f>Summary!U30</f>
        <v>0</v>
      </c>
      <c r="AK30" s="57">
        <f>Summary!V30</f>
        <v>1</v>
      </c>
      <c r="AL30" s="57">
        <f>Summary!W30</f>
        <v>3.3000000000000002E-2</v>
      </c>
      <c r="AM30" s="57">
        <f>Summary!X30</f>
        <v>1</v>
      </c>
      <c r="AN30" s="57">
        <f>Summary!Y30</f>
        <v>1</v>
      </c>
      <c r="AO30" s="57">
        <f>Summary!Z30</f>
        <v>0.09</v>
      </c>
      <c r="AP30" s="57">
        <f>Summary!AA30</f>
        <v>4.2500000000000003E-2</v>
      </c>
      <c r="AQ30" s="57">
        <f>Summary!AB30</f>
        <v>3.3000000000000002E-2</v>
      </c>
    </row>
    <row r="31" spans="1:43">
      <c r="B31" s="20"/>
      <c r="C31" s="6">
        <f t="shared" si="8"/>
        <v>29</v>
      </c>
      <c r="D31" s="21">
        <f t="shared" si="9"/>
        <v>0</v>
      </c>
      <c r="E31" s="21">
        <f t="shared" si="10"/>
        <v>102335623.06806901</v>
      </c>
      <c r="F31" s="21">
        <f t="shared" si="11"/>
        <v>102335623.06806901</v>
      </c>
      <c r="G31" s="21">
        <f t="shared" si="12"/>
        <v>22338371.641908094</v>
      </c>
      <c r="H31" s="21">
        <f>'CapEx Estimates'!E31</f>
        <v>9183719.5890280139</v>
      </c>
      <c r="I31" s="20">
        <f t="shared" si="13"/>
        <v>70813531.837132901</v>
      </c>
      <c r="J31" s="21">
        <f t="shared" si="14"/>
        <v>1466806673.5256608</v>
      </c>
      <c r="K31" s="21">
        <f t="shared" si="2"/>
        <v>132012600.61730947</v>
      </c>
      <c r="L31" s="21">
        <f t="shared" si="3"/>
        <v>62339283.624840587</v>
      </c>
      <c r="M31" s="21">
        <f t="shared" si="4"/>
        <v>69673316.992468879</v>
      </c>
      <c r="N31" s="39">
        <f t="shared" si="15"/>
        <v>102335623.06806901</v>
      </c>
      <c r="O31" s="19">
        <f t="shared" si="5"/>
        <v>31522091.23093611</v>
      </c>
      <c r="P31" s="19">
        <f t="shared" si="16"/>
        <v>70813531.837132901</v>
      </c>
      <c r="Q31" s="19">
        <f t="shared" si="17"/>
        <v>62339283.624840587</v>
      </c>
      <c r="R31" s="19">
        <f t="shared" si="7"/>
        <v>8474248.2122923136</v>
      </c>
      <c r="S31" s="19">
        <f t="shared" si="18"/>
        <v>296820605.48621768</v>
      </c>
      <c r="T31" s="19">
        <f t="shared" si="19"/>
        <v>26713854.493759591</v>
      </c>
      <c r="U31" s="39">
        <f t="shared" si="20"/>
        <v>1169986068.039443</v>
      </c>
      <c r="V31" s="19">
        <f t="shared" si="21"/>
        <v>105298746.12354986</v>
      </c>
      <c r="W31" s="19">
        <f t="shared" si="22"/>
        <v>70813531.837132901</v>
      </c>
      <c r="X31" s="19">
        <f t="shared" si="23"/>
        <v>34485214.286416963</v>
      </c>
      <c r="Y31" s="39">
        <f t="shared" si="28"/>
        <v>33066124.73101702</v>
      </c>
      <c r="Z31" s="19">
        <f t="shared" si="29"/>
        <v>37747407.106115878</v>
      </c>
      <c r="AA31" s="19">
        <f t="shared" si="30"/>
        <v>1266971926.1278396</v>
      </c>
      <c r="AB31" s="19">
        <f t="shared" si="31"/>
        <v>114027473.35150556</v>
      </c>
      <c r="AC31" s="39">
        <f t="shared" si="24"/>
        <v>2436957994.1672831</v>
      </c>
      <c r="AD31" s="19">
        <f t="shared" si="25"/>
        <v>219326219.47505546</v>
      </c>
      <c r="AE31" s="19">
        <f t="shared" si="26"/>
        <v>33066124.73101702</v>
      </c>
      <c r="AF31" s="87">
        <f t="shared" si="27"/>
        <v>186260094.74403843</v>
      </c>
      <c r="AG31" s="57">
        <f>Summary!R31</f>
        <v>0.04</v>
      </c>
      <c r="AH31" s="57">
        <f>Summary!S31</f>
        <v>0</v>
      </c>
      <c r="AI31" s="57">
        <f>Summary!T31</f>
        <v>0.04</v>
      </c>
      <c r="AJ31" s="57">
        <f>Summary!U31</f>
        <v>0</v>
      </c>
      <c r="AK31" s="57">
        <f>Summary!V31</f>
        <v>1</v>
      </c>
      <c r="AL31" s="57">
        <f>Summary!W31</f>
        <v>3.3000000000000002E-2</v>
      </c>
      <c r="AM31" s="57">
        <f>Summary!X31</f>
        <v>1</v>
      </c>
      <c r="AN31" s="57">
        <f>Summary!Y31</f>
        <v>1</v>
      </c>
      <c r="AO31" s="57">
        <f>Summary!Z31</f>
        <v>0.09</v>
      </c>
      <c r="AP31" s="57">
        <f>Summary!AA31</f>
        <v>4.2500000000000003E-2</v>
      </c>
      <c r="AQ31" s="57">
        <f>Summary!AB31</f>
        <v>3.3000000000000002E-2</v>
      </c>
    </row>
    <row r="32" spans="1:43">
      <c r="A32" s="16"/>
      <c r="B32" s="12"/>
      <c r="C32" s="6">
        <f t="shared" si="8"/>
        <v>30</v>
      </c>
      <c r="D32" s="21">
        <f t="shared" si="9"/>
        <v>0</v>
      </c>
      <c r="E32" s="21">
        <f t="shared" si="10"/>
        <v>106429047.99079177</v>
      </c>
      <c r="F32" s="21">
        <f t="shared" si="11"/>
        <v>106429047.99079177</v>
      </c>
      <c r="G32" s="21">
        <f t="shared" si="12"/>
        <v>23075537.90609106</v>
      </c>
      <c r="H32" s="21">
        <f>'CapEx Estimates'!E32</f>
        <v>9407894.5754331928</v>
      </c>
      <c r="I32" s="20">
        <f t="shared" si="13"/>
        <v>73945615.509267509</v>
      </c>
      <c r="J32" s="21">
        <f t="shared" si="14"/>
        <v>1536479990.5181296</v>
      </c>
      <c r="K32" s="21">
        <f t="shared" si="2"/>
        <v>138283199.14663166</v>
      </c>
      <c r="L32" s="21">
        <f t="shared" si="3"/>
        <v>65300399.597020514</v>
      </c>
      <c r="M32" s="21">
        <f t="shared" si="4"/>
        <v>72982799.549611151</v>
      </c>
      <c r="N32" s="39">
        <f t="shared" si="15"/>
        <v>106429047.99079177</v>
      </c>
      <c r="O32" s="19">
        <f t="shared" si="5"/>
        <v>32483432.481524251</v>
      </c>
      <c r="P32" s="19">
        <f t="shared" si="16"/>
        <v>73945615.509267509</v>
      </c>
      <c r="Q32" s="19">
        <f t="shared" si="17"/>
        <v>65300399.597020514</v>
      </c>
      <c r="R32" s="19">
        <f t="shared" si="7"/>
        <v>8645215.9122469947</v>
      </c>
      <c r="S32" s="19">
        <f t="shared" si="18"/>
        <v>332008708.19226956</v>
      </c>
      <c r="T32" s="19">
        <f t="shared" si="19"/>
        <v>29880783.737304259</v>
      </c>
      <c r="U32" s="39">
        <f t="shared" si="20"/>
        <v>1204471282.32586</v>
      </c>
      <c r="V32" s="19">
        <f t="shared" si="21"/>
        <v>108402415.4093274</v>
      </c>
      <c r="W32" s="19">
        <f t="shared" si="22"/>
        <v>73945615.509267509</v>
      </c>
      <c r="X32" s="19">
        <f t="shared" si="23"/>
        <v>34456799.900059894</v>
      </c>
      <c r="Y32" s="39">
        <f t="shared" si="28"/>
        <v>34157306.84714058</v>
      </c>
      <c r="Z32" s="19">
        <f t="shared" si="29"/>
        <v>39788308.662126929</v>
      </c>
      <c r="AA32" s="19">
        <f t="shared" si="30"/>
        <v>1418746806.5854609</v>
      </c>
      <c r="AB32" s="19">
        <f t="shared" si="31"/>
        <v>127687212.59269148</v>
      </c>
      <c r="AC32" s="39">
        <f t="shared" si="24"/>
        <v>2623218088.9113216</v>
      </c>
      <c r="AD32" s="19">
        <f t="shared" si="25"/>
        <v>236089628.00201893</v>
      </c>
      <c r="AE32" s="19">
        <f t="shared" si="26"/>
        <v>34157306.84714058</v>
      </c>
      <c r="AF32" s="87">
        <f t="shared" si="27"/>
        <v>201932321.15487835</v>
      </c>
      <c r="AG32" s="57">
        <f>Summary!R32</f>
        <v>0.04</v>
      </c>
      <c r="AH32" s="57">
        <f>Summary!S32</f>
        <v>0</v>
      </c>
      <c r="AI32" s="57">
        <f>Summary!T32</f>
        <v>0.04</v>
      </c>
      <c r="AJ32" s="57">
        <f>Summary!U32</f>
        <v>0</v>
      </c>
      <c r="AK32" s="57">
        <f>Summary!V32</f>
        <v>1</v>
      </c>
      <c r="AL32" s="57">
        <f>Summary!W32</f>
        <v>3.3000000000000002E-2</v>
      </c>
      <c r="AM32" s="57">
        <f>Summary!X32</f>
        <v>1</v>
      </c>
      <c r="AN32" s="57">
        <f>Summary!Y32</f>
        <v>1</v>
      </c>
      <c r="AO32" s="57">
        <f>Summary!Z32</f>
        <v>0.09</v>
      </c>
      <c r="AP32" s="57">
        <f>Summary!AA32</f>
        <v>4.2500000000000003E-2</v>
      </c>
      <c r="AQ32" s="57">
        <f>Summary!AB32</f>
        <v>3.3000000000000002E-2</v>
      </c>
    </row>
    <row r="33" spans="1:43">
      <c r="A33" s="16"/>
      <c r="B33" s="12"/>
      <c r="C33" s="6">
        <f t="shared" si="8"/>
        <v>31</v>
      </c>
      <c r="D33" s="21">
        <f t="shared" si="9"/>
        <v>0</v>
      </c>
      <c r="E33" s="21">
        <f t="shared" si="10"/>
        <v>110686209.91042344</v>
      </c>
      <c r="F33" s="21">
        <f t="shared" si="11"/>
        <v>110686209.91042344</v>
      </c>
      <c r="G33" s="21">
        <f t="shared" si="12"/>
        <v>23837030.656992063</v>
      </c>
      <c r="H33" s="21">
        <f>'CapEx Estimates'!E33</f>
        <v>15211418.850847885</v>
      </c>
      <c r="I33" s="20">
        <f t="shared" si="13"/>
        <v>71637760.402583495</v>
      </c>
      <c r="J33" s="21">
        <f t="shared" si="14"/>
        <v>1609462790.0677407</v>
      </c>
      <c r="K33" s="21">
        <f t="shared" si="2"/>
        <v>144851651.10609666</v>
      </c>
      <c r="L33" s="21">
        <f t="shared" si="3"/>
        <v>68402168.577878982</v>
      </c>
      <c r="M33" s="21">
        <f t="shared" si="4"/>
        <v>76449482.528217673</v>
      </c>
      <c r="N33" s="39">
        <f t="shared" si="15"/>
        <v>110686209.91042344</v>
      </c>
      <c r="O33" s="19">
        <f t="shared" si="5"/>
        <v>39048449.507839948</v>
      </c>
      <c r="P33" s="19">
        <f t="shared" si="16"/>
        <v>71637760.402583495</v>
      </c>
      <c r="Q33" s="19">
        <f t="shared" si="17"/>
        <v>68402168.577878982</v>
      </c>
      <c r="R33" s="19">
        <f t="shared" si="7"/>
        <v>3235591.824704513</v>
      </c>
      <c r="S33" s="19">
        <f t="shared" si="18"/>
        <v>370534707.84182084</v>
      </c>
      <c r="T33" s="19">
        <f t="shared" si="19"/>
        <v>33348123.705763873</v>
      </c>
      <c r="U33" s="39">
        <f t="shared" si="20"/>
        <v>1238928082.22592</v>
      </c>
      <c r="V33" s="19">
        <f t="shared" si="21"/>
        <v>111503527.40033279</v>
      </c>
      <c r="W33" s="19">
        <f t="shared" si="22"/>
        <v>71637760.402583495</v>
      </c>
      <c r="X33" s="19">
        <f t="shared" si="23"/>
        <v>39865766.997749299</v>
      </c>
      <c r="Y33" s="39">
        <f t="shared" si="28"/>
        <v>35284497.973096214</v>
      </c>
      <c r="Z33" s="19">
        <f t="shared" si="29"/>
        <v>36353262.429487281</v>
      </c>
      <c r="AA33" s="19">
        <f t="shared" si="30"/>
        <v>1586222327.8402793</v>
      </c>
      <c r="AB33" s="19">
        <f t="shared" si="31"/>
        <v>142760009.50562513</v>
      </c>
      <c r="AC33" s="39">
        <f t="shared" si="24"/>
        <v>2825150410.0661998</v>
      </c>
      <c r="AD33" s="19">
        <f t="shared" si="25"/>
        <v>254263536.90595797</v>
      </c>
      <c r="AE33" s="19">
        <f t="shared" si="26"/>
        <v>35284497.973096214</v>
      </c>
      <c r="AF33" s="87">
        <f t="shared" si="27"/>
        <v>218979038.93286175</v>
      </c>
      <c r="AG33" s="57">
        <f>Summary!R33</f>
        <v>0.04</v>
      </c>
      <c r="AH33" s="57">
        <f>Summary!S33</f>
        <v>0</v>
      </c>
      <c r="AI33" s="57">
        <f>Summary!T33</f>
        <v>0.04</v>
      </c>
      <c r="AJ33" s="57">
        <f>Summary!U33</f>
        <v>0</v>
      </c>
      <c r="AK33" s="57">
        <f>Summary!V33</f>
        <v>1</v>
      </c>
      <c r="AL33" s="57">
        <f>Summary!W33</f>
        <v>3.3000000000000002E-2</v>
      </c>
      <c r="AM33" s="57">
        <f>Summary!X33</f>
        <v>1</v>
      </c>
      <c r="AN33" s="57">
        <f>Summary!Y33</f>
        <v>1</v>
      </c>
      <c r="AO33" s="57">
        <f>Summary!Z33</f>
        <v>0.09</v>
      </c>
      <c r="AP33" s="57">
        <f>Summary!AA33</f>
        <v>4.2500000000000003E-2</v>
      </c>
      <c r="AQ33" s="57">
        <f>Summary!AB33</f>
        <v>3.3000000000000002E-2</v>
      </c>
    </row>
    <row r="34" spans="1:43">
      <c r="A34" s="16"/>
      <c r="B34" s="12"/>
      <c r="C34" s="6">
        <f t="shared" si="8"/>
        <v>32</v>
      </c>
      <c r="D34" s="21">
        <f t="shared" si="9"/>
        <v>0</v>
      </c>
      <c r="E34" s="21">
        <f t="shared" si="10"/>
        <v>115113658.30684039</v>
      </c>
      <c r="F34" s="21">
        <f t="shared" si="11"/>
        <v>115113658.30684039</v>
      </c>
      <c r="G34" s="21">
        <f t="shared" si="12"/>
        <v>24623652.6686728</v>
      </c>
      <c r="H34" s="21">
        <f>'CapEx Estimates'!E34</f>
        <v>11389132.663664727</v>
      </c>
      <c r="I34" s="20">
        <f t="shared" si="13"/>
        <v>79100872.974502861</v>
      </c>
      <c r="J34" s="21">
        <f t="shared" si="14"/>
        <v>1685912272.5959582</v>
      </c>
      <c r="K34" s="21">
        <f t="shared" si="2"/>
        <v>151732104.53363624</v>
      </c>
      <c r="L34" s="21">
        <f t="shared" si="3"/>
        <v>71651271.585328236</v>
      </c>
      <c r="M34" s="21">
        <f t="shared" si="4"/>
        <v>80080832.948308006</v>
      </c>
      <c r="N34" s="39">
        <f t="shared" si="15"/>
        <v>115113658.30684039</v>
      </c>
      <c r="O34" s="19">
        <f t="shared" si="5"/>
        <v>36012785.332337528</v>
      </c>
      <c r="P34" s="19">
        <f t="shared" si="16"/>
        <v>79100872.974502861</v>
      </c>
      <c r="Q34" s="19">
        <f t="shared" si="17"/>
        <v>71651271.585328236</v>
      </c>
      <c r="R34" s="19">
        <f t="shared" si="7"/>
        <v>7449601.3891746253</v>
      </c>
      <c r="S34" s="19">
        <f t="shared" si="18"/>
        <v>407118423.37228924</v>
      </c>
      <c r="T34" s="19">
        <f t="shared" si="19"/>
        <v>36640658.103506029</v>
      </c>
      <c r="U34" s="39">
        <f t="shared" si="20"/>
        <v>1278793849.2236693</v>
      </c>
      <c r="V34" s="19">
        <f t="shared" si="21"/>
        <v>115091446.43013023</v>
      </c>
      <c r="W34" s="19">
        <f t="shared" si="22"/>
        <v>79100872.974502861</v>
      </c>
      <c r="X34" s="19">
        <f t="shared" si="23"/>
        <v>35990573.455627367</v>
      </c>
      <c r="Y34" s="39">
        <f t="shared" si="28"/>
        <v>36448886.406208389</v>
      </c>
      <c r="Z34" s="19">
        <f t="shared" si="29"/>
        <v>42651986.568294473</v>
      </c>
      <c r="AA34" s="19">
        <f t="shared" si="30"/>
        <v>1765335599.7753916</v>
      </c>
      <c r="AB34" s="19">
        <f t="shared" si="31"/>
        <v>158880203.97978523</v>
      </c>
      <c r="AC34" s="39">
        <f t="shared" si="24"/>
        <v>3044129448.9990616</v>
      </c>
      <c r="AD34" s="19">
        <f t="shared" si="25"/>
        <v>273971650.40991551</v>
      </c>
      <c r="AE34" s="19">
        <f t="shared" si="26"/>
        <v>36448886.406208389</v>
      </c>
      <c r="AF34" s="87">
        <f t="shared" si="27"/>
        <v>237522764.00370711</v>
      </c>
      <c r="AG34" s="57">
        <f>Summary!R34</f>
        <v>0.04</v>
      </c>
      <c r="AH34" s="57">
        <f>Summary!S34</f>
        <v>0</v>
      </c>
      <c r="AI34" s="57">
        <f>Summary!T34</f>
        <v>0.04</v>
      </c>
      <c r="AJ34" s="57">
        <f>Summary!U34</f>
        <v>0</v>
      </c>
      <c r="AK34" s="57">
        <f>Summary!V34</f>
        <v>1</v>
      </c>
      <c r="AL34" s="57">
        <f>Summary!W34</f>
        <v>3.3000000000000002E-2</v>
      </c>
      <c r="AM34" s="57">
        <f>Summary!X34</f>
        <v>1</v>
      </c>
      <c r="AN34" s="57">
        <f>Summary!Y34</f>
        <v>1</v>
      </c>
      <c r="AO34" s="57">
        <f>Summary!Z34</f>
        <v>0.09</v>
      </c>
      <c r="AP34" s="57">
        <f>Summary!AA34</f>
        <v>4.2500000000000003E-2</v>
      </c>
      <c r="AQ34" s="57">
        <f>Summary!AB34</f>
        <v>3.3000000000000002E-2</v>
      </c>
    </row>
    <row r="35" spans="1:43">
      <c r="A35" s="16"/>
      <c r="B35" s="12"/>
      <c r="C35" s="6">
        <f t="shared" si="8"/>
        <v>33</v>
      </c>
      <c r="D35" s="21">
        <f t="shared" si="9"/>
        <v>0</v>
      </c>
      <c r="E35" s="21">
        <f t="shared" si="10"/>
        <v>119718204.63911401</v>
      </c>
      <c r="F35" s="21">
        <f t="shared" si="11"/>
        <v>119718204.63911401</v>
      </c>
      <c r="G35" s="21">
        <f t="shared" si="12"/>
        <v>25436233.206739001</v>
      </c>
      <c r="H35" s="21">
        <f>'CapEx Estimates'!E35</f>
        <v>12088275.125324052</v>
      </c>
      <c r="I35" s="20">
        <f t="shared" si="13"/>
        <v>82193696.307050958</v>
      </c>
      <c r="J35" s="21">
        <f t="shared" si="14"/>
        <v>1765993105.5442662</v>
      </c>
      <c r="K35" s="21">
        <f t="shared" si="2"/>
        <v>158939379.49898395</v>
      </c>
      <c r="L35" s="21">
        <f t="shared" si="3"/>
        <v>75054706.985631317</v>
      </c>
      <c r="M35" s="21">
        <f t="shared" si="4"/>
        <v>83884672.513352633</v>
      </c>
      <c r="N35" s="39">
        <f t="shared" si="15"/>
        <v>119718204.63911401</v>
      </c>
      <c r="O35" s="19">
        <f t="shared" si="5"/>
        <v>37524508.332063049</v>
      </c>
      <c r="P35" s="19">
        <f t="shared" si="16"/>
        <v>82193696.307050958</v>
      </c>
      <c r="Q35" s="19">
        <f t="shared" si="17"/>
        <v>75054706.985631317</v>
      </c>
      <c r="R35" s="19">
        <f t="shared" si="7"/>
        <v>7138989.3214196414</v>
      </c>
      <c r="S35" s="19">
        <f t="shared" si="18"/>
        <v>451208682.86496991</v>
      </c>
      <c r="T35" s="19">
        <f t="shared" si="19"/>
        <v>40608781.45784729</v>
      </c>
      <c r="U35" s="39">
        <f t="shared" si="20"/>
        <v>1314784422.6792967</v>
      </c>
      <c r="V35" s="19">
        <f t="shared" si="21"/>
        <v>118330598.0411367</v>
      </c>
      <c r="W35" s="19">
        <f t="shared" si="22"/>
        <v>82193696.307050958</v>
      </c>
      <c r="X35" s="19">
        <f t="shared" si="23"/>
        <v>36136901.734085739</v>
      </c>
      <c r="Y35" s="39">
        <f t="shared" si="28"/>
        <v>37651699.657613263</v>
      </c>
      <c r="Z35" s="19">
        <f t="shared" si="29"/>
        <v>44541996.649437696</v>
      </c>
      <c r="AA35" s="19">
        <f t="shared" si="30"/>
        <v>1966867790.3234713</v>
      </c>
      <c r="AB35" s="19">
        <f t="shared" si="31"/>
        <v>177018101.12911242</v>
      </c>
      <c r="AC35" s="39">
        <f t="shared" si="24"/>
        <v>3281652213.0027685</v>
      </c>
      <c r="AD35" s="19">
        <f t="shared" si="25"/>
        <v>295348699.17024916</v>
      </c>
      <c r="AE35" s="19">
        <f t="shared" si="26"/>
        <v>37651699.657613263</v>
      </c>
      <c r="AF35" s="87">
        <f t="shared" si="27"/>
        <v>257696999.51263589</v>
      </c>
      <c r="AG35" s="57">
        <f>Summary!R35</f>
        <v>0.04</v>
      </c>
      <c r="AH35" s="57">
        <f>Summary!S35</f>
        <v>0</v>
      </c>
      <c r="AI35" s="57">
        <f>Summary!T35</f>
        <v>0.04</v>
      </c>
      <c r="AJ35" s="57">
        <f>Summary!U35</f>
        <v>0</v>
      </c>
      <c r="AK35" s="57">
        <f>Summary!V35</f>
        <v>1</v>
      </c>
      <c r="AL35" s="57">
        <f>Summary!W35</f>
        <v>3.3000000000000002E-2</v>
      </c>
      <c r="AM35" s="57">
        <f>Summary!X35</f>
        <v>1</v>
      </c>
      <c r="AN35" s="57">
        <f>Summary!Y35</f>
        <v>1</v>
      </c>
      <c r="AO35" s="57">
        <f>Summary!Z35</f>
        <v>0.09</v>
      </c>
      <c r="AP35" s="57">
        <f>Summary!AA35</f>
        <v>4.2500000000000003E-2</v>
      </c>
      <c r="AQ35" s="57">
        <f>Summary!AB35</f>
        <v>3.3000000000000002E-2</v>
      </c>
    </row>
    <row r="36" spans="1:43">
      <c r="A36" s="16"/>
      <c r="B36" s="12"/>
      <c r="C36" s="6">
        <f t="shared" si="8"/>
        <v>34</v>
      </c>
      <c r="D36" s="21">
        <f t="shared" si="9"/>
        <v>0</v>
      </c>
      <c r="E36" s="21">
        <f t="shared" si="10"/>
        <v>124506932.82467857</v>
      </c>
      <c r="F36" s="21">
        <f t="shared" si="11"/>
        <v>124506932.82467857</v>
      </c>
      <c r="G36" s="21">
        <f t="shared" si="12"/>
        <v>26275628.902561385</v>
      </c>
      <c r="H36" s="21">
        <f>'CapEx Estimates'!E36</f>
        <v>12653084.370951241</v>
      </c>
      <c r="I36" s="20">
        <f t="shared" si="13"/>
        <v>85578219.551165953</v>
      </c>
      <c r="J36" s="21">
        <f t="shared" si="14"/>
        <v>1849877778.0576189</v>
      </c>
      <c r="K36" s="21">
        <f t="shared" si="2"/>
        <v>166489000.0251857</v>
      </c>
      <c r="L36" s="21">
        <f t="shared" si="3"/>
        <v>78619805.56744881</v>
      </c>
      <c r="M36" s="21">
        <f t="shared" si="4"/>
        <v>87869194.457736894</v>
      </c>
      <c r="N36" s="39">
        <f t="shared" si="15"/>
        <v>124506932.82467857</v>
      </c>
      <c r="O36" s="19">
        <f t="shared" si="5"/>
        <v>38928713.273512624</v>
      </c>
      <c r="P36" s="19">
        <f t="shared" si="16"/>
        <v>85578219.551165938</v>
      </c>
      <c r="Q36" s="19">
        <f t="shared" si="17"/>
        <v>78619805.56744881</v>
      </c>
      <c r="R36" s="19">
        <f t="shared" si="7"/>
        <v>6958413.9837171286</v>
      </c>
      <c r="S36" s="19">
        <f t="shared" si="18"/>
        <v>498956453.64423686</v>
      </c>
      <c r="T36" s="19">
        <f t="shared" si="19"/>
        <v>44906080.827981316</v>
      </c>
      <c r="U36" s="39">
        <f t="shared" si="20"/>
        <v>1350921324.4133825</v>
      </c>
      <c r="V36" s="19">
        <f t="shared" si="21"/>
        <v>121582919.19720443</v>
      </c>
      <c r="W36" s="19">
        <f t="shared" si="22"/>
        <v>85578219.551165938</v>
      </c>
      <c r="X36" s="19">
        <f t="shared" si="23"/>
        <v>36004699.646038488</v>
      </c>
      <c r="Y36" s="39">
        <f t="shared" si="28"/>
        <v>38894205.746314496</v>
      </c>
      <c r="Z36" s="19">
        <f t="shared" si="29"/>
        <v>46684013.804851443</v>
      </c>
      <c r="AA36" s="19">
        <f t="shared" si="30"/>
        <v>2188427888.1020212</v>
      </c>
      <c r="AB36" s="19">
        <f t="shared" si="31"/>
        <v>196958509.9291819</v>
      </c>
      <c r="AC36" s="39">
        <f t="shared" si="24"/>
        <v>3539349212.5154042</v>
      </c>
      <c r="AD36" s="19">
        <f t="shared" si="25"/>
        <v>318541429.12638634</v>
      </c>
      <c r="AE36" s="19">
        <f t="shared" si="26"/>
        <v>38894205.746314496</v>
      </c>
      <c r="AF36" s="87">
        <f t="shared" si="27"/>
        <v>279647223.38007188</v>
      </c>
      <c r="AG36" s="57">
        <f>Summary!R36</f>
        <v>0.04</v>
      </c>
      <c r="AH36" s="57">
        <f>Summary!S36</f>
        <v>0</v>
      </c>
      <c r="AI36" s="57">
        <f>Summary!T36</f>
        <v>0.04</v>
      </c>
      <c r="AJ36" s="57">
        <f>Summary!U36</f>
        <v>0</v>
      </c>
      <c r="AK36" s="57">
        <f>Summary!V36</f>
        <v>1</v>
      </c>
      <c r="AL36" s="57">
        <f>Summary!W36</f>
        <v>3.3000000000000002E-2</v>
      </c>
      <c r="AM36" s="57">
        <f>Summary!X36</f>
        <v>1</v>
      </c>
      <c r="AN36" s="57">
        <f>Summary!Y36</f>
        <v>1</v>
      </c>
      <c r="AO36" s="57">
        <f>Summary!Z36</f>
        <v>0.09</v>
      </c>
      <c r="AP36" s="57">
        <f>Summary!AA36</f>
        <v>4.2500000000000003E-2</v>
      </c>
      <c r="AQ36" s="57">
        <f>Summary!AB36</f>
        <v>3.3000000000000002E-2</v>
      </c>
    </row>
    <row r="37" spans="1:43">
      <c r="A37" s="16"/>
      <c r="B37" s="12"/>
      <c r="C37" s="6">
        <f t="shared" si="8"/>
        <v>35</v>
      </c>
      <c r="D37" s="21">
        <f t="shared" si="9"/>
        <v>0</v>
      </c>
      <c r="E37" s="21">
        <f t="shared" si="10"/>
        <v>129487210.13766572</v>
      </c>
      <c r="F37" s="21">
        <f t="shared" si="11"/>
        <v>129487210.13766572</v>
      </c>
      <c r="G37" s="21">
        <f t="shared" si="12"/>
        <v>27142724.656345908</v>
      </c>
      <c r="H37" s="21">
        <f>'CapEx Estimates'!E37</f>
        <v>12995322.877997998</v>
      </c>
      <c r="I37" s="20">
        <f t="shared" si="13"/>
        <v>89349162.60332182</v>
      </c>
      <c r="J37" s="21">
        <f t="shared" si="14"/>
        <v>1937746972.5153558</v>
      </c>
      <c r="K37" s="21">
        <f t="shared" si="2"/>
        <v>174397227.52638203</v>
      </c>
      <c r="L37" s="21">
        <f t="shared" si="3"/>
        <v>82354246.331902623</v>
      </c>
      <c r="M37" s="21">
        <f t="shared" si="4"/>
        <v>92042981.194479406</v>
      </c>
      <c r="N37" s="39">
        <f t="shared" si="15"/>
        <v>129487210.13766572</v>
      </c>
      <c r="O37" s="19">
        <f t="shared" si="5"/>
        <v>40138047.534343906</v>
      </c>
      <c r="P37" s="19">
        <f t="shared" si="16"/>
        <v>89349162.60332182</v>
      </c>
      <c r="Q37" s="19">
        <f t="shared" si="17"/>
        <v>82354246.331902623</v>
      </c>
      <c r="R37" s="19">
        <f t="shared" si="7"/>
        <v>6994916.2714191973</v>
      </c>
      <c r="S37" s="19">
        <f t="shared" si="18"/>
        <v>550820948.45593536</v>
      </c>
      <c r="T37" s="19">
        <f t="shared" si="19"/>
        <v>49573885.361034177</v>
      </c>
      <c r="U37" s="39">
        <f t="shared" si="20"/>
        <v>1386926024.0594211</v>
      </c>
      <c r="V37" s="19">
        <f t="shared" si="21"/>
        <v>124823342.16534789</v>
      </c>
      <c r="W37" s="19">
        <f t="shared" si="22"/>
        <v>89349162.60332182</v>
      </c>
      <c r="X37" s="19">
        <f t="shared" si="23"/>
        <v>35474179.562026069</v>
      </c>
      <c r="Y37" s="39">
        <f t="shared" si="28"/>
        <v>40177714.535942867</v>
      </c>
      <c r="Z37" s="19">
        <f t="shared" si="29"/>
        <v>49171448.067378953</v>
      </c>
      <c r="AA37" s="19">
        <f t="shared" si="30"/>
        <v>2432070411.8360548</v>
      </c>
      <c r="AB37" s="19">
        <f t="shared" si="31"/>
        <v>218886337.06524491</v>
      </c>
      <c r="AC37" s="39">
        <f t="shared" si="24"/>
        <v>3818996435.8954763</v>
      </c>
      <c r="AD37" s="19">
        <f t="shared" si="25"/>
        <v>343709679.23059285</v>
      </c>
      <c r="AE37" s="19">
        <f t="shared" si="26"/>
        <v>40177714.535942867</v>
      </c>
      <c r="AF37" s="87">
        <f t="shared" si="27"/>
        <v>303531964.69464999</v>
      </c>
      <c r="AG37" s="57">
        <f>Summary!R37</f>
        <v>0.04</v>
      </c>
      <c r="AH37" s="57">
        <f>Summary!S37</f>
        <v>0</v>
      </c>
      <c r="AI37" s="57">
        <f>Summary!T37</f>
        <v>0.04</v>
      </c>
      <c r="AJ37" s="57">
        <f>Summary!U37</f>
        <v>0</v>
      </c>
      <c r="AK37" s="57">
        <f>Summary!V37</f>
        <v>1</v>
      </c>
      <c r="AL37" s="57">
        <f>Summary!W37</f>
        <v>3.3000000000000002E-2</v>
      </c>
      <c r="AM37" s="57">
        <f>Summary!X37</f>
        <v>1</v>
      </c>
      <c r="AN37" s="57">
        <f>Summary!Y37</f>
        <v>1</v>
      </c>
      <c r="AO37" s="57">
        <f>Summary!Z37</f>
        <v>0.09</v>
      </c>
      <c r="AP37" s="57">
        <f>Summary!AA37</f>
        <v>4.2500000000000003E-2</v>
      </c>
      <c r="AQ37" s="57">
        <f>Summary!AB37</f>
        <v>3.3000000000000002E-2</v>
      </c>
    </row>
    <row r="38" spans="1:43">
      <c r="A38" s="16"/>
      <c r="B38" s="12"/>
      <c r="C38" s="6">
        <f t="shared" si="8"/>
        <v>36</v>
      </c>
      <c r="D38" s="21">
        <f t="shared" si="9"/>
        <v>0</v>
      </c>
      <c r="E38" s="21">
        <f t="shared" si="10"/>
        <v>134666698.54317236</v>
      </c>
      <c r="F38" s="21">
        <f t="shared" si="11"/>
        <v>134666698.54317236</v>
      </c>
      <c r="G38" s="21">
        <f t="shared" si="12"/>
        <v>28038434.57000532</v>
      </c>
      <c r="H38" s="21">
        <f>'CapEx Estimates'!E38</f>
        <v>12818569.151213415</v>
      </c>
      <c r="I38" s="20">
        <f t="shared" si="13"/>
        <v>93809694.821953624</v>
      </c>
      <c r="J38" s="21">
        <f t="shared" si="14"/>
        <v>2029789953.7098353</v>
      </c>
      <c r="K38" s="21">
        <f t="shared" si="2"/>
        <v>182681095.83388516</v>
      </c>
      <c r="L38" s="21">
        <f t="shared" si="3"/>
        <v>86266073.032668009</v>
      </c>
      <c r="M38" s="21">
        <f t="shared" si="4"/>
        <v>96415022.801217154</v>
      </c>
      <c r="N38" s="39">
        <f t="shared" si="15"/>
        <v>134666698.54317236</v>
      </c>
      <c r="O38" s="19">
        <f t="shared" si="5"/>
        <v>40857003.721218735</v>
      </c>
      <c r="P38" s="19">
        <f t="shared" si="16"/>
        <v>93809694.821953624</v>
      </c>
      <c r="Q38" s="19">
        <f t="shared" si="17"/>
        <v>86266073.032668009</v>
      </c>
      <c r="R38" s="19">
        <f t="shared" si="7"/>
        <v>7543621.7892856151</v>
      </c>
      <c r="S38" s="19">
        <f t="shared" si="18"/>
        <v>607389750.08838868</v>
      </c>
      <c r="T38" s="19">
        <f t="shared" si="19"/>
        <v>54665077.507954977</v>
      </c>
      <c r="U38" s="39">
        <f t="shared" si="20"/>
        <v>1422400203.6214471</v>
      </c>
      <c r="V38" s="19">
        <f t="shared" si="21"/>
        <v>128016018.32593024</v>
      </c>
      <c r="W38" s="19">
        <f t="shared" si="22"/>
        <v>93809694.821953624</v>
      </c>
      <c r="X38" s="19">
        <f t="shared" si="23"/>
        <v>34206323.503976613</v>
      </c>
      <c r="Y38" s="39">
        <f t="shared" si="28"/>
        <v>41503579.11562898</v>
      </c>
      <c r="Z38" s="19">
        <f t="shared" si="29"/>
        <v>52306115.706324644</v>
      </c>
      <c r="AA38" s="19">
        <f t="shared" si="30"/>
        <v>2700128196.9686785</v>
      </c>
      <c r="AB38" s="19">
        <f t="shared" si="31"/>
        <v>243011537.72718105</v>
      </c>
      <c r="AC38" s="39">
        <f t="shared" si="24"/>
        <v>4122528400.5901265</v>
      </c>
      <c r="AD38" s="19">
        <f t="shared" si="25"/>
        <v>371027556.05311137</v>
      </c>
      <c r="AE38" s="19">
        <f t="shared" si="26"/>
        <v>41503579.11562898</v>
      </c>
      <c r="AF38" s="87">
        <f t="shared" si="27"/>
        <v>329523976.93748242</v>
      </c>
      <c r="AG38" s="57">
        <f>Summary!R38</f>
        <v>0.04</v>
      </c>
      <c r="AH38" s="57">
        <f>Summary!S38</f>
        <v>0</v>
      </c>
      <c r="AI38" s="57">
        <f>Summary!T38</f>
        <v>0.04</v>
      </c>
      <c r="AJ38" s="57">
        <f>Summary!U38</f>
        <v>0</v>
      </c>
      <c r="AK38" s="57">
        <f>Summary!V38</f>
        <v>1</v>
      </c>
      <c r="AL38" s="57">
        <f>Summary!W38</f>
        <v>3.3000000000000002E-2</v>
      </c>
      <c r="AM38" s="57">
        <f>Summary!X38</f>
        <v>1</v>
      </c>
      <c r="AN38" s="57">
        <f>Summary!Y38</f>
        <v>1</v>
      </c>
      <c r="AO38" s="57">
        <f>Summary!Z38</f>
        <v>0.09</v>
      </c>
      <c r="AP38" s="57">
        <f>Summary!AA38</f>
        <v>4.2500000000000003E-2</v>
      </c>
      <c r="AQ38" s="57">
        <f>Summary!AB38</f>
        <v>3.3000000000000002E-2</v>
      </c>
    </row>
    <row r="39" spans="1:43">
      <c r="A39" s="16"/>
      <c r="B39" s="12"/>
      <c r="C39" s="6">
        <f t="shared" si="8"/>
        <v>37</v>
      </c>
      <c r="D39" s="21">
        <f t="shared" si="9"/>
        <v>0</v>
      </c>
      <c r="E39" s="21">
        <f t="shared" si="10"/>
        <v>140053366.48489925</v>
      </c>
      <c r="F39" s="21">
        <f t="shared" si="11"/>
        <v>140053366.48489925</v>
      </c>
      <c r="G39" s="21">
        <f t="shared" si="12"/>
        <v>28963702.910815492</v>
      </c>
      <c r="H39" s="21">
        <f>'CapEx Estimates'!E39</f>
        <v>13297832.542104378</v>
      </c>
      <c r="I39" s="20">
        <f t="shared" si="13"/>
        <v>97791831.031979382</v>
      </c>
      <c r="J39" s="21">
        <f t="shared" si="14"/>
        <v>2126204976.5110524</v>
      </c>
      <c r="K39" s="21">
        <f t="shared" si="2"/>
        <v>191358447.8859947</v>
      </c>
      <c r="L39" s="21">
        <f t="shared" si="3"/>
        <v>90363711.501719728</v>
      </c>
      <c r="M39" s="21">
        <f t="shared" si="4"/>
        <v>100994736.38427497</v>
      </c>
      <c r="N39" s="39">
        <f t="shared" si="15"/>
        <v>140053366.48489925</v>
      </c>
      <c r="O39" s="19">
        <f t="shared" si="5"/>
        <v>42261535.452919871</v>
      </c>
      <c r="P39" s="19">
        <f t="shared" si="16"/>
        <v>97791831.031979382</v>
      </c>
      <c r="Q39" s="19">
        <f t="shared" si="17"/>
        <v>90363711.501719728</v>
      </c>
      <c r="R39" s="19">
        <f t="shared" si="7"/>
        <v>7428119.5302596539</v>
      </c>
      <c r="S39" s="19">
        <f t="shared" si="18"/>
        <v>669598449.3856293</v>
      </c>
      <c r="T39" s="19">
        <f t="shared" si="19"/>
        <v>60263860.444706634</v>
      </c>
      <c r="U39" s="39">
        <f t="shared" si="20"/>
        <v>1456606527.1254237</v>
      </c>
      <c r="V39" s="19">
        <f t="shared" si="21"/>
        <v>131094587.44128813</v>
      </c>
      <c r="W39" s="19">
        <f t="shared" si="22"/>
        <v>97791831.031979382</v>
      </c>
      <c r="X39" s="19">
        <f t="shared" si="23"/>
        <v>33302756.409308746</v>
      </c>
      <c r="Y39" s="39">
        <f t="shared" si="28"/>
        <v>42873197.226444736</v>
      </c>
      <c r="Z39" s="19">
        <f t="shared" si="29"/>
        <v>54918633.805534646</v>
      </c>
      <c r="AA39" s="19">
        <f t="shared" si="30"/>
        <v>2995445850.402184</v>
      </c>
      <c r="AB39" s="19">
        <f t="shared" si="31"/>
        <v>269590126.53619653</v>
      </c>
      <c r="AC39" s="39">
        <f t="shared" si="24"/>
        <v>4452052377.5276089</v>
      </c>
      <c r="AD39" s="19">
        <f t="shared" si="25"/>
        <v>400684713.97748476</v>
      </c>
      <c r="AE39" s="19">
        <f t="shared" si="26"/>
        <v>42873197.226444736</v>
      </c>
      <c r="AF39" s="87">
        <f t="shared" si="27"/>
        <v>357811516.75104004</v>
      </c>
      <c r="AG39" s="57">
        <f>Summary!R39</f>
        <v>0.04</v>
      </c>
      <c r="AH39" s="57">
        <f>Summary!S39</f>
        <v>0</v>
      </c>
      <c r="AI39" s="57">
        <f>Summary!T39</f>
        <v>0.04</v>
      </c>
      <c r="AJ39" s="57">
        <f>Summary!U39</f>
        <v>0</v>
      </c>
      <c r="AK39" s="57">
        <f>Summary!V39</f>
        <v>1</v>
      </c>
      <c r="AL39" s="57">
        <f>Summary!W39</f>
        <v>3.3000000000000002E-2</v>
      </c>
      <c r="AM39" s="57">
        <f>Summary!X39</f>
        <v>1</v>
      </c>
      <c r="AN39" s="57">
        <f>Summary!Y39</f>
        <v>1</v>
      </c>
      <c r="AO39" s="57">
        <f>Summary!Z39</f>
        <v>0.09</v>
      </c>
      <c r="AP39" s="57">
        <f>Summary!AA39</f>
        <v>4.2500000000000003E-2</v>
      </c>
      <c r="AQ39" s="57">
        <f>Summary!AB39</f>
        <v>3.3000000000000002E-2</v>
      </c>
    </row>
    <row r="40" spans="1:43">
      <c r="A40" s="16"/>
      <c r="B40" s="12"/>
      <c r="C40" s="6">
        <f t="shared" si="8"/>
        <v>38</v>
      </c>
      <c r="D40" s="21">
        <f t="shared" si="9"/>
        <v>0</v>
      </c>
      <c r="E40" s="21">
        <f t="shared" si="10"/>
        <v>145655501.14429522</v>
      </c>
      <c r="F40" s="21">
        <f t="shared" si="11"/>
        <v>145655501.14429522</v>
      </c>
      <c r="G40" s="21">
        <f t="shared" si="12"/>
        <v>29919505.106872402</v>
      </c>
      <c r="H40" s="21">
        <f>'CapEx Estimates'!E40</f>
        <v>13718444.741888663</v>
      </c>
      <c r="I40" s="20">
        <f t="shared" si="13"/>
        <v>102017551.29553415</v>
      </c>
      <c r="J40" s="21">
        <f t="shared" si="14"/>
        <v>2227199712.8953276</v>
      </c>
      <c r="K40" s="21">
        <f t="shared" si="2"/>
        <v>200447974.16057947</v>
      </c>
      <c r="L40" s="21">
        <f t="shared" si="3"/>
        <v>94655987.798051432</v>
      </c>
      <c r="M40" s="21">
        <f t="shared" si="4"/>
        <v>105791986.36252804</v>
      </c>
      <c r="N40" s="39">
        <f t="shared" si="15"/>
        <v>145655501.14429522</v>
      </c>
      <c r="O40" s="19">
        <f t="shared" si="5"/>
        <v>43637949.848761067</v>
      </c>
      <c r="P40" s="19">
        <f t="shared" si="16"/>
        <v>102017551.29553415</v>
      </c>
      <c r="Q40" s="19">
        <f t="shared" si="17"/>
        <v>94655987.798051432</v>
      </c>
      <c r="R40" s="19">
        <f t="shared" si="7"/>
        <v>7361563.497482717</v>
      </c>
      <c r="S40" s="19">
        <f t="shared" si="18"/>
        <v>737290429.36059558</v>
      </c>
      <c r="T40" s="19">
        <f t="shared" si="19"/>
        <v>66356138.642453603</v>
      </c>
      <c r="U40" s="39">
        <f t="shared" si="20"/>
        <v>1489909283.5347323</v>
      </c>
      <c r="V40" s="19">
        <f t="shared" si="21"/>
        <v>134091835.51812591</v>
      </c>
      <c r="W40" s="19">
        <f t="shared" si="22"/>
        <v>102017551.29553415</v>
      </c>
      <c r="X40" s="19">
        <f t="shared" si="23"/>
        <v>32074284.222591758</v>
      </c>
      <c r="Y40" s="39">
        <f t="shared" si="28"/>
        <v>44288012.73491741</v>
      </c>
      <c r="Z40" s="19">
        <f t="shared" si="29"/>
        <v>57729538.560616739</v>
      </c>
      <c r="AA40" s="19">
        <f t="shared" si="30"/>
        <v>3319954610.7439156</v>
      </c>
      <c r="AB40" s="19">
        <f t="shared" si="31"/>
        <v>298795914.96695238</v>
      </c>
      <c r="AC40" s="39">
        <f t="shared" si="24"/>
        <v>4809863894.2786493</v>
      </c>
      <c r="AD40" s="19">
        <f t="shared" si="25"/>
        <v>432887750.48507839</v>
      </c>
      <c r="AE40" s="19">
        <f t="shared" si="26"/>
        <v>44288012.73491741</v>
      </c>
      <c r="AF40" s="87">
        <f t="shared" si="27"/>
        <v>388599737.75016099</v>
      </c>
      <c r="AG40" s="57">
        <f>Summary!R40</f>
        <v>0.04</v>
      </c>
      <c r="AH40" s="57">
        <f>Summary!S40</f>
        <v>0</v>
      </c>
      <c r="AI40" s="57">
        <f>Summary!T40</f>
        <v>0.04</v>
      </c>
      <c r="AJ40" s="57">
        <f>Summary!U40</f>
        <v>0</v>
      </c>
      <c r="AK40" s="57">
        <f>Summary!V40</f>
        <v>1</v>
      </c>
      <c r="AL40" s="57">
        <f>Summary!W40</f>
        <v>3.3000000000000002E-2</v>
      </c>
      <c r="AM40" s="57">
        <f>Summary!X40</f>
        <v>1</v>
      </c>
      <c r="AN40" s="57">
        <f>Summary!Y40</f>
        <v>1</v>
      </c>
      <c r="AO40" s="57">
        <f>Summary!Z40</f>
        <v>0.09</v>
      </c>
      <c r="AP40" s="57">
        <f>Summary!AA40</f>
        <v>4.2500000000000003E-2</v>
      </c>
      <c r="AQ40" s="57">
        <f>Summary!AB40</f>
        <v>3.3000000000000002E-2</v>
      </c>
    </row>
    <row r="41" spans="1:43">
      <c r="A41" s="16"/>
      <c r="B41" s="12"/>
      <c r="C41" s="6">
        <f t="shared" si="8"/>
        <v>39</v>
      </c>
      <c r="D41" s="21">
        <f t="shared" si="9"/>
        <v>0</v>
      </c>
      <c r="E41" s="21">
        <f t="shared" si="10"/>
        <v>151481721.19006702</v>
      </c>
      <c r="F41" s="21">
        <f t="shared" si="11"/>
        <v>151481721.19006702</v>
      </c>
      <c r="G41" s="21">
        <f t="shared" si="12"/>
        <v>30906848.775399189</v>
      </c>
      <c r="H41" s="21">
        <f>'CapEx Estimates'!E41</f>
        <v>14074179.23357835</v>
      </c>
      <c r="I41" s="20">
        <f t="shared" si="13"/>
        <v>106500693.18108948</v>
      </c>
      <c r="J41" s="21">
        <f t="shared" si="14"/>
        <v>2332991699.2578554</v>
      </c>
      <c r="K41" s="21">
        <f t="shared" si="2"/>
        <v>209969252.93320698</v>
      </c>
      <c r="L41" s="21">
        <f t="shared" si="3"/>
        <v>99152147.218458861</v>
      </c>
      <c r="M41" s="21">
        <f t="shared" si="4"/>
        <v>110817105.71474811</v>
      </c>
      <c r="N41" s="39">
        <f t="shared" si="15"/>
        <v>151481721.19006702</v>
      </c>
      <c r="O41" s="19">
        <f t="shared" si="5"/>
        <v>44981028.00897754</v>
      </c>
      <c r="P41" s="19">
        <f t="shared" si="16"/>
        <v>106500693.18108949</v>
      </c>
      <c r="Q41" s="19">
        <f t="shared" si="17"/>
        <v>99152147.218458861</v>
      </c>
      <c r="R41" s="19">
        <f t="shared" si="7"/>
        <v>7348545.9626306295</v>
      </c>
      <c r="S41" s="19">
        <f t="shared" si="18"/>
        <v>811008131.50053179</v>
      </c>
      <c r="T41" s="19">
        <f t="shared" si="19"/>
        <v>72990731.835047856</v>
      </c>
      <c r="U41" s="39">
        <f t="shared" si="20"/>
        <v>1521983567.7573242</v>
      </c>
      <c r="V41" s="19">
        <f t="shared" si="21"/>
        <v>136978521.09815916</v>
      </c>
      <c r="W41" s="19">
        <f t="shared" si="22"/>
        <v>106500693.18108949</v>
      </c>
      <c r="X41" s="19">
        <f t="shared" si="23"/>
        <v>30477827.917069674</v>
      </c>
      <c r="Y41" s="39">
        <f t="shared" si="28"/>
        <v>45749517.155169681</v>
      </c>
      <c r="Z41" s="19">
        <f t="shared" si="29"/>
        <v>60751176.02591981</v>
      </c>
      <c r="AA41" s="19">
        <f t="shared" si="30"/>
        <v>3676480064.2714849</v>
      </c>
      <c r="AB41" s="19">
        <f t="shared" si="31"/>
        <v>330883205.7844336</v>
      </c>
      <c r="AC41" s="39">
        <f t="shared" si="24"/>
        <v>5198463632.0288105</v>
      </c>
      <c r="AD41" s="19">
        <f t="shared" si="25"/>
        <v>467861726.88259292</v>
      </c>
      <c r="AE41" s="19">
        <f t="shared" si="26"/>
        <v>45749517.155169681</v>
      </c>
      <c r="AF41" s="87">
        <f t="shared" si="27"/>
        <v>422112209.72742325</v>
      </c>
      <c r="AG41" s="57">
        <f>Summary!R41</f>
        <v>0.04</v>
      </c>
      <c r="AH41" s="57">
        <f>Summary!S41</f>
        <v>0</v>
      </c>
      <c r="AI41" s="57">
        <f>Summary!T41</f>
        <v>0.04</v>
      </c>
      <c r="AJ41" s="57">
        <f>Summary!U41</f>
        <v>0</v>
      </c>
      <c r="AK41" s="57">
        <f>Summary!V41</f>
        <v>1</v>
      </c>
      <c r="AL41" s="57">
        <f>Summary!W41</f>
        <v>3.3000000000000002E-2</v>
      </c>
      <c r="AM41" s="57">
        <f>Summary!X41</f>
        <v>1</v>
      </c>
      <c r="AN41" s="57">
        <f>Summary!Y41</f>
        <v>1</v>
      </c>
      <c r="AO41" s="57">
        <f>Summary!Z41</f>
        <v>0.09</v>
      </c>
      <c r="AP41" s="57">
        <f>Summary!AA41</f>
        <v>4.2500000000000003E-2</v>
      </c>
      <c r="AQ41" s="57">
        <f>Summary!AB41</f>
        <v>3.3000000000000002E-2</v>
      </c>
    </row>
    <row r="42" spans="1:43">
      <c r="A42" s="16"/>
      <c r="B42" s="12"/>
      <c r="C42" s="6">
        <f t="shared" si="8"/>
        <v>40</v>
      </c>
      <c r="D42" s="21">
        <f t="shared" si="9"/>
        <v>0</v>
      </c>
      <c r="E42" s="21">
        <f t="shared" si="10"/>
        <v>157540990.03766972</v>
      </c>
      <c r="F42" s="21">
        <f t="shared" si="11"/>
        <v>157540990.03766972</v>
      </c>
      <c r="G42" s="21">
        <f t="shared" si="12"/>
        <v>31926774.78498736</v>
      </c>
      <c r="H42" s="21">
        <f>'CapEx Estimates'!E42</f>
        <v>14427412.511284918</v>
      </c>
      <c r="I42" s="20">
        <f t="shared" si="13"/>
        <v>111186802.74139744</v>
      </c>
      <c r="J42" s="21">
        <f t="shared" si="14"/>
        <v>2443808804.9726033</v>
      </c>
      <c r="K42" s="21">
        <f t="shared" si="2"/>
        <v>219942792.44753429</v>
      </c>
      <c r="L42" s="21">
        <f t="shared" si="3"/>
        <v>103861874.21133564</v>
      </c>
      <c r="M42" s="21">
        <f t="shared" si="4"/>
        <v>116080918.23619865</v>
      </c>
      <c r="N42" s="39">
        <f t="shared" si="15"/>
        <v>157540990.03766972</v>
      </c>
      <c r="O42" s="19">
        <f t="shared" si="5"/>
        <v>46354187.296272278</v>
      </c>
      <c r="P42" s="19">
        <f t="shared" si="16"/>
        <v>111186802.74139744</v>
      </c>
      <c r="Q42" s="19">
        <f t="shared" si="17"/>
        <v>103861874.21133564</v>
      </c>
      <c r="R42" s="19">
        <f t="shared" si="7"/>
        <v>7324928.5300617963</v>
      </c>
      <c r="S42" s="19">
        <f t="shared" si="18"/>
        <v>891347409.29821026</v>
      </c>
      <c r="T42" s="19">
        <f t="shared" si="19"/>
        <v>80221266.836838916</v>
      </c>
      <c r="U42" s="39">
        <f t="shared" si="20"/>
        <v>1552461395.6743939</v>
      </c>
      <c r="V42" s="19">
        <f t="shared" si="21"/>
        <v>139721525.61069545</v>
      </c>
      <c r="W42" s="19">
        <f t="shared" si="22"/>
        <v>111186802.74139744</v>
      </c>
      <c r="X42" s="19">
        <f t="shared" si="23"/>
        <v>28534722.869298011</v>
      </c>
      <c r="Y42" s="39">
        <f t="shared" si="28"/>
        <v>47259251.221290275</v>
      </c>
      <c r="Z42" s="19">
        <f t="shared" si="29"/>
        <v>63927551.520107165</v>
      </c>
      <c r="AA42" s="19">
        <f t="shared" si="30"/>
        <v>4068114446.0818386</v>
      </c>
      <c r="AB42" s="19">
        <f t="shared" si="31"/>
        <v>366130300.14736545</v>
      </c>
      <c r="AC42" s="39">
        <f t="shared" si="24"/>
        <v>5620575841.7562342</v>
      </c>
      <c r="AD42" s="19">
        <f t="shared" si="25"/>
        <v>505851825.75806105</v>
      </c>
      <c r="AE42" s="19">
        <f t="shared" si="26"/>
        <v>47259251.221290275</v>
      </c>
      <c r="AF42" s="87">
        <f t="shared" si="27"/>
        <v>458592574.53677076</v>
      </c>
      <c r="AG42" s="57">
        <f>Summary!R42</f>
        <v>0.04</v>
      </c>
      <c r="AH42" s="57">
        <f>Summary!S42</f>
        <v>0</v>
      </c>
      <c r="AI42" s="57">
        <f>Summary!T42</f>
        <v>0.04</v>
      </c>
      <c r="AJ42" s="57">
        <f>Summary!U42</f>
        <v>0</v>
      </c>
      <c r="AK42" s="57">
        <f>Summary!V42</f>
        <v>1</v>
      </c>
      <c r="AL42" s="57">
        <f>Summary!W42</f>
        <v>3.3000000000000002E-2</v>
      </c>
      <c r="AM42" s="57">
        <f>Summary!X42</f>
        <v>1</v>
      </c>
      <c r="AN42" s="57">
        <f>Summary!Y42</f>
        <v>1</v>
      </c>
      <c r="AO42" s="57">
        <f>Summary!Z42</f>
        <v>0.09</v>
      </c>
      <c r="AP42" s="57">
        <f>Summary!AA42</f>
        <v>4.2500000000000003E-2</v>
      </c>
      <c r="AQ42" s="57">
        <f>Summary!AB42</f>
        <v>3.3000000000000002E-2</v>
      </c>
    </row>
    <row r="43" spans="1:43">
      <c r="A43" s="16"/>
      <c r="B43" s="12"/>
      <c r="C43" s="6">
        <f t="shared" si="8"/>
        <v>41</v>
      </c>
      <c r="D43" s="21">
        <f t="shared" si="9"/>
        <v>0</v>
      </c>
      <c r="E43" s="21">
        <f t="shared" si="10"/>
        <v>163842629.63917652</v>
      </c>
      <c r="F43" s="21">
        <f t="shared" si="11"/>
        <v>163842629.63917652</v>
      </c>
      <c r="G43" s="21">
        <f t="shared" si="12"/>
        <v>32980358.352891941</v>
      </c>
      <c r="H43" s="21">
        <f>'CapEx Estimates'!E43</f>
        <v>20442874.94671841</v>
      </c>
      <c r="I43" s="20">
        <f t="shared" si="13"/>
        <v>110419396.33956617</v>
      </c>
      <c r="J43" s="21">
        <f t="shared" si="14"/>
        <v>2559889723.2088017</v>
      </c>
      <c r="K43" s="21">
        <f t="shared" si="2"/>
        <v>230390075.08879215</v>
      </c>
      <c r="L43" s="21">
        <f t="shared" si="3"/>
        <v>108795313.23637408</v>
      </c>
      <c r="M43" s="21">
        <f t="shared" si="4"/>
        <v>121594761.85241807</v>
      </c>
      <c r="N43" s="39">
        <f t="shared" si="15"/>
        <v>163842629.63917652</v>
      </c>
      <c r="O43" s="19">
        <f t="shared" si="5"/>
        <v>53423233.299610347</v>
      </c>
      <c r="P43" s="19">
        <f t="shared" si="16"/>
        <v>110419396.33956617</v>
      </c>
      <c r="Q43" s="19">
        <f t="shared" si="17"/>
        <v>108795313.23637408</v>
      </c>
      <c r="R43" s="19">
        <f t="shared" si="7"/>
        <v>1624083.103192091</v>
      </c>
      <c r="S43" s="19">
        <f t="shared" si="18"/>
        <v>978893604.66511106</v>
      </c>
      <c r="T43" s="19">
        <f t="shared" si="19"/>
        <v>88100424.41985999</v>
      </c>
      <c r="U43" s="39">
        <f t="shared" si="20"/>
        <v>1580996118.5436919</v>
      </c>
      <c r="V43" s="19">
        <f t="shared" si="21"/>
        <v>142289650.66893226</v>
      </c>
      <c r="W43" s="19">
        <f t="shared" si="22"/>
        <v>110419396.33956617</v>
      </c>
      <c r="X43" s="19">
        <f t="shared" si="23"/>
        <v>31870254.329366088</v>
      </c>
      <c r="Y43" s="39">
        <f t="shared" si="28"/>
        <v>48818806.51159285</v>
      </c>
      <c r="Z43" s="19">
        <f t="shared" si="29"/>
        <v>61600589.827973321</v>
      </c>
      <c r="AA43" s="19">
        <f t="shared" si="30"/>
        <v>4498172297.7493114</v>
      </c>
      <c r="AB43" s="19">
        <f t="shared" si="31"/>
        <v>404835506.79743803</v>
      </c>
      <c r="AC43" s="39">
        <f t="shared" si="24"/>
        <v>6079168416.293005</v>
      </c>
      <c r="AD43" s="19">
        <f t="shared" si="25"/>
        <v>547125157.46637046</v>
      </c>
      <c r="AE43" s="19">
        <f t="shared" si="26"/>
        <v>48818806.51159285</v>
      </c>
      <c r="AF43" s="87">
        <f t="shared" si="27"/>
        <v>498306350.9547776</v>
      </c>
      <c r="AG43" s="57">
        <f>Summary!R43</f>
        <v>0.04</v>
      </c>
      <c r="AH43" s="57">
        <f>Summary!S43</f>
        <v>0</v>
      </c>
      <c r="AI43" s="57">
        <f>Summary!T43</f>
        <v>0.04</v>
      </c>
      <c r="AJ43" s="57">
        <f>Summary!U43</f>
        <v>0</v>
      </c>
      <c r="AK43" s="57">
        <f>Summary!V43</f>
        <v>1</v>
      </c>
      <c r="AL43" s="57">
        <f>Summary!W43</f>
        <v>3.3000000000000002E-2</v>
      </c>
      <c r="AM43" s="57">
        <f>Summary!X43</f>
        <v>1</v>
      </c>
      <c r="AN43" s="57">
        <f>Summary!Y43</f>
        <v>1</v>
      </c>
      <c r="AO43" s="57">
        <f>Summary!Z43</f>
        <v>0.09</v>
      </c>
      <c r="AP43" s="57">
        <f>Summary!AA43</f>
        <v>4.2500000000000003E-2</v>
      </c>
      <c r="AQ43" s="57">
        <f>Summary!AB43</f>
        <v>3.3000000000000002E-2</v>
      </c>
    </row>
    <row r="44" spans="1:43">
      <c r="A44" s="16"/>
      <c r="B44" s="12"/>
      <c r="C44" s="6">
        <f t="shared" si="8"/>
        <v>42</v>
      </c>
      <c r="D44" s="21">
        <f t="shared" si="9"/>
        <v>0</v>
      </c>
      <c r="E44" s="21">
        <f t="shared" si="10"/>
        <v>170396334.8247436</v>
      </c>
      <c r="F44" s="21">
        <f t="shared" si="11"/>
        <v>170396334.8247436</v>
      </c>
      <c r="G44" s="21">
        <f t="shared" si="12"/>
        <v>34068710.178537369</v>
      </c>
      <c r="H44" s="21">
        <f>'CapEx Estimates'!E44</f>
        <v>15306041.933222173</v>
      </c>
      <c r="I44" s="20">
        <f t="shared" si="13"/>
        <v>121021582.71298406</v>
      </c>
      <c r="J44" s="21">
        <f t="shared" si="14"/>
        <v>2681484485.0612197</v>
      </c>
      <c r="K44" s="21">
        <f t="shared" si="2"/>
        <v>241333603.65550977</v>
      </c>
      <c r="L44" s="21">
        <f t="shared" si="3"/>
        <v>113963090.61510184</v>
      </c>
      <c r="M44" s="21">
        <f t="shared" si="4"/>
        <v>127370513.04040793</v>
      </c>
      <c r="N44" s="39">
        <f t="shared" si="15"/>
        <v>170396334.8247436</v>
      </c>
      <c r="O44" s="19">
        <f t="shared" si="5"/>
        <v>49374752.111759543</v>
      </c>
      <c r="P44" s="19">
        <f t="shared" si="16"/>
        <v>121021582.71298406</v>
      </c>
      <c r="Q44" s="19">
        <f t="shared" si="17"/>
        <v>113963090.61510184</v>
      </c>
      <c r="R44" s="19">
        <f t="shared" si="7"/>
        <v>7058492.0978822112</v>
      </c>
      <c r="S44" s="19">
        <f t="shared" si="18"/>
        <v>1068618112.1881632</v>
      </c>
      <c r="T44" s="19">
        <f t="shared" si="19"/>
        <v>96175630.096934676</v>
      </c>
      <c r="U44" s="39">
        <f t="shared" si="20"/>
        <v>1612866372.8730578</v>
      </c>
      <c r="V44" s="19">
        <f t="shared" si="21"/>
        <v>145157973.55857521</v>
      </c>
      <c r="W44" s="19">
        <f t="shared" si="22"/>
        <v>121021582.71298406</v>
      </c>
      <c r="X44" s="19">
        <f t="shared" si="23"/>
        <v>24136390.845591158</v>
      </c>
      <c r="Y44" s="39">
        <f t="shared" si="28"/>
        <v>50429827.126475409</v>
      </c>
      <c r="Z44" s="19">
        <f t="shared" si="29"/>
        <v>70591755.586508647</v>
      </c>
      <c r="AA44" s="19">
        <f t="shared" si="30"/>
        <v>4964608394.3747225</v>
      </c>
      <c r="AB44" s="19">
        <f t="shared" si="31"/>
        <v>446814755.493725</v>
      </c>
      <c r="AC44" s="39">
        <f t="shared" si="24"/>
        <v>6577474767.2477827</v>
      </c>
      <c r="AD44" s="19">
        <f t="shared" si="25"/>
        <v>591972729.05230045</v>
      </c>
      <c r="AE44" s="19">
        <f t="shared" si="26"/>
        <v>50429827.126475409</v>
      </c>
      <c r="AF44" s="87">
        <f t="shared" si="27"/>
        <v>541542901.925825</v>
      </c>
      <c r="AG44" s="57">
        <f>Summary!R44</f>
        <v>0.04</v>
      </c>
      <c r="AH44" s="57">
        <f>Summary!S44</f>
        <v>0</v>
      </c>
      <c r="AI44" s="57">
        <f>Summary!T44</f>
        <v>0.04</v>
      </c>
      <c r="AJ44" s="57">
        <f>Summary!U44</f>
        <v>0</v>
      </c>
      <c r="AK44" s="57">
        <f>Summary!V44</f>
        <v>1</v>
      </c>
      <c r="AL44" s="57">
        <f>Summary!W44</f>
        <v>3.3000000000000002E-2</v>
      </c>
      <c r="AM44" s="57">
        <f>Summary!X44</f>
        <v>1</v>
      </c>
      <c r="AN44" s="57">
        <f>Summary!Y44</f>
        <v>1</v>
      </c>
      <c r="AO44" s="57">
        <f>Summary!Z44</f>
        <v>0.09</v>
      </c>
      <c r="AP44" s="57">
        <f>Summary!AA44</f>
        <v>4.2500000000000003E-2</v>
      </c>
      <c r="AQ44" s="57">
        <f>Summary!AB44</f>
        <v>3.3000000000000002E-2</v>
      </c>
    </row>
    <row r="45" spans="1:43">
      <c r="A45" s="16"/>
      <c r="B45" s="12"/>
      <c r="C45" s="6">
        <f t="shared" si="8"/>
        <v>43</v>
      </c>
      <c r="D45" s="21">
        <f t="shared" si="9"/>
        <v>0</v>
      </c>
      <c r="E45" s="21">
        <f t="shared" si="10"/>
        <v>177212188.21773335</v>
      </c>
      <c r="F45" s="21">
        <f t="shared" si="11"/>
        <v>177212188.21773335</v>
      </c>
      <c r="G45" s="21">
        <f t="shared" si="12"/>
        <v>35192977.614429101</v>
      </c>
      <c r="H45" s="21">
        <f>'CapEx Estimates'!E45</f>
        <v>16245630.938941112</v>
      </c>
      <c r="I45" s="20">
        <f t="shared" si="13"/>
        <v>125773579.66436316</v>
      </c>
      <c r="J45" s="21">
        <f t="shared" si="14"/>
        <v>2808854998.1016278</v>
      </c>
      <c r="K45" s="21">
        <f t="shared" si="2"/>
        <v>252796949.8291465</v>
      </c>
      <c r="L45" s="21">
        <f t="shared" si="3"/>
        <v>119376337.4193192</v>
      </c>
      <c r="M45" s="21">
        <f t="shared" si="4"/>
        <v>133420612.40982731</v>
      </c>
      <c r="N45" s="39">
        <f t="shared" si="15"/>
        <v>177212188.21773335</v>
      </c>
      <c r="O45" s="19">
        <f t="shared" si="5"/>
        <v>51438608.553370215</v>
      </c>
      <c r="P45" s="19">
        <f t="shared" si="16"/>
        <v>125773579.66436315</v>
      </c>
      <c r="Q45" s="19">
        <f t="shared" si="17"/>
        <v>119376337.4193192</v>
      </c>
      <c r="R45" s="19">
        <f t="shared" si="7"/>
        <v>6397242.2450439483</v>
      </c>
      <c r="S45" s="19">
        <f t="shared" si="18"/>
        <v>1171852234.3829799</v>
      </c>
      <c r="T45" s="19">
        <f t="shared" si="19"/>
        <v>105466701.09446819</v>
      </c>
      <c r="U45" s="39">
        <f t="shared" si="20"/>
        <v>1637002763.7186489</v>
      </c>
      <c r="V45" s="19">
        <f t="shared" si="21"/>
        <v>147330248.73467839</v>
      </c>
      <c r="W45" s="19">
        <f t="shared" si="22"/>
        <v>125773579.66436315</v>
      </c>
      <c r="X45" s="19">
        <f t="shared" si="23"/>
        <v>21556669.070315242</v>
      </c>
      <c r="Y45" s="39">
        <f t="shared" si="28"/>
        <v>52094011.421649091</v>
      </c>
      <c r="Z45" s="19">
        <f t="shared" si="29"/>
        <v>73679568.242714047</v>
      </c>
      <c r="AA45" s="19">
        <f t="shared" si="30"/>
        <v>5482014905.4549561</v>
      </c>
      <c r="AB45" s="19">
        <f t="shared" si="31"/>
        <v>493381341.49094605</v>
      </c>
      <c r="AC45" s="39">
        <f t="shared" si="24"/>
        <v>7119017669.1736078</v>
      </c>
      <c r="AD45" s="19">
        <f t="shared" si="25"/>
        <v>640711590.22562468</v>
      </c>
      <c r="AE45" s="19">
        <f t="shared" si="26"/>
        <v>52094011.421649091</v>
      </c>
      <c r="AF45" s="87">
        <f t="shared" si="27"/>
        <v>588617578.80397558</v>
      </c>
      <c r="AG45" s="57">
        <f>Summary!R45</f>
        <v>0.04</v>
      </c>
      <c r="AH45" s="57">
        <f>Summary!S45</f>
        <v>0</v>
      </c>
      <c r="AI45" s="57">
        <f>Summary!T45</f>
        <v>0.04</v>
      </c>
      <c r="AJ45" s="57">
        <f>Summary!U45</f>
        <v>0</v>
      </c>
      <c r="AK45" s="57">
        <f>Summary!V45</f>
        <v>1</v>
      </c>
      <c r="AL45" s="57">
        <f>Summary!W45</f>
        <v>3.3000000000000002E-2</v>
      </c>
      <c r="AM45" s="57">
        <f>Summary!X45</f>
        <v>1</v>
      </c>
      <c r="AN45" s="57">
        <f>Summary!Y45</f>
        <v>1</v>
      </c>
      <c r="AO45" s="57">
        <f>Summary!Z45</f>
        <v>0.09</v>
      </c>
      <c r="AP45" s="57">
        <f>Summary!AA45</f>
        <v>4.2500000000000003E-2</v>
      </c>
      <c r="AQ45" s="57">
        <f>Summary!AB45</f>
        <v>3.3000000000000002E-2</v>
      </c>
    </row>
    <row r="46" spans="1:43">
      <c r="A46" s="16"/>
      <c r="B46" s="12"/>
      <c r="C46" s="6">
        <f t="shared" si="8"/>
        <v>44</v>
      </c>
      <c r="D46" s="21">
        <f t="shared" si="9"/>
        <v>0</v>
      </c>
      <c r="E46" s="21">
        <f t="shared" si="10"/>
        <v>184300675.74644271</v>
      </c>
      <c r="F46" s="21">
        <f t="shared" si="11"/>
        <v>184300675.74644271</v>
      </c>
      <c r="G46" s="21">
        <f t="shared" si="12"/>
        <v>36354345.875705257</v>
      </c>
      <c r="H46" s="21">
        <f>'CapEx Estimates'!E46</f>
        <v>17004687.335344486</v>
      </c>
      <c r="I46" s="20">
        <f t="shared" si="13"/>
        <v>130941642.53539294</v>
      </c>
      <c r="J46" s="21">
        <f t="shared" si="14"/>
        <v>2942275610.5114551</v>
      </c>
      <c r="K46" s="21">
        <f t="shared" si="2"/>
        <v>264804804.94603094</v>
      </c>
      <c r="L46" s="21">
        <f t="shared" si="3"/>
        <v>125046713.44673684</v>
      </c>
      <c r="M46" s="21">
        <f t="shared" si="4"/>
        <v>139758091.4992941</v>
      </c>
      <c r="N46" s="39">
        <f t="shared" si="15"/>
        <v>184300675.74644271</v>
      </c>
      <c r="O46" s="19">
        <f t="shared" si="5"/>
        <v>53359033.211049743</v>
      </c>
      <c r="P46" s="19">
        <f t="shared" si="16"/>
        <v>130941642.53539297</v>
      </c>
      <c r="Q46" s="19">
        <f t="shared" si="17"/>
        <v>125046713.44673684</v>
      </c>
      <c r="R46" s="19">
        <f t="shared" si="7"/>
        <v>5894929.0886561275</v>
      </c>
      <c r="S46" s="19">
        <f t="shared" si="18"/>
        <v>1283716177.722492</v>
      </c>
      <c r="T46" s="19">
        <f t="shared" si="19"/>
        <v>115534455.99502428</v>
      </c>
      <c r="U46" s="39">
        <f t="shared" si="20"/>
        <v>1658559432.7889643</v>
      </c>
      <c r="V46" s="19">
        <f t="shared" si="21"/>
        <v>149270348.95100677</v>
      </c>
      <c r="W46" s="19">
        <f t="shared" si="22"/>
        <v>130941642.53539297</v>
      </c>
      <c r="X46" s="19">
        <f t="shared" si="23"/>
        <v>18328706.4156138</v>
      </c>
      <c r="Y46" s="39">
        <f t="shared" si="28"/>
        <v>53813113.79856351</v>
      </c>
      <c r="Z46" s="19">
        <f t="shared" si="29"/>
        <v>77128528.73682946</v>
      </c>
      <c r="AA46" s="19">
        <f t="shared" si="30"/>
        <v>6049075815.1886158</v>
      </c>
      <c r="AB46" s="19">
        <f t="shared" si="31"/>
        <v>544416823.36697543</v>
      </c>
      <c r="AC46" s="39">
        <f t="shared" si="24"/>
        <v>7707635247.9775829</v>
      </c>
      <c r="AD46" s="19">
        <f t="shared" si="25"/>
        <v>693687172.31798244</v>
      </c>
      <c r="AE46" s="19">
        <f t="shared" si="26"/>
        <v>53813113.79856351</v>
      </c>
      <c r="AF46" s="87">
        <f t="shared" si="27"/>
        <v>639874058.51941895</v>
      </c>
      <c r="AG46" s="57">
        <f>Summary!R46</f>
        <v>0.04</v>
      </c>
      <c r="AH46" s="57">
        <f>Summary!S46</f>
        <v>0</v>
      </c>
      <c r="AI46" s="57">
        <f>Summary!T46</f>
        <v>0.04</v>
      </c>
      <c r="AJ46" s="57">
        <f>Summary!U46</f>
        <v>0</v>
      </c>
      <c r="AK46" s="57">
        <f>Summary!V46</f>
        <v>1</v>
      </c>
      <c r="AL46" s="57">
        <f>Summary!W46</f>
        <v>3.3000000000000002E-2</v>
      </c>
      <c r="AM46" s="57">
        <f>Summary!X46</f>
        <v>1</v>
      </c>
      <c r="AN46" s="57">
        <f>Summary!Y46</f>
        <v>1</v>
      </c>
      <c r="AO46" s="57">
        <f>Summary!Z46</f>
        <v>0.09</v>
      </c>
      <c r="AP46" s="57">
        <f>Summary!AA46</f>
        <v>4.2500000000000003E-2</v>
      </c>
      <c r="AQ46" s="57">
        <f>Summary!AB46</f>
        <v>3.3000000000000002E-2</v>
      </c>
    </row>
    <row r="47" spans="1:43">
      <c r="A47" s="16"/>
      <c r="B47" s="12"/>
      <c r="C47" s="6">
        <f t="shared" si="8"/>
        <v>45</v>
      </c>
      <c r="D47" s="21">
        <f t="shared" si="9"/>
        <v>0</v>
      </c>
      <c r="E47" s="21">
        <f t="shared" si="10"/>
        <v>191672702.77630043</v>
      </c>
      <c r="F47" s="21">
        <f t="shared" si="11"/>
        <v>191672702.77630043</v>
      </c>
      <c r="G47" s="21">
        <f t="shared" si="12"/>
        <v>37554039.289603524</v>
      </c>
      <c r="H47" s="21">
        <f>'CapEx Estimates'!E47</f>
        <v>17464627.270606901</v>
      </c>
      <c r="I47" s="20">
        <f t="shared" si="13"/>
        <v>136654036.21608999</v>
      </c>
      <c r="J47" s="21">
        <f t="shared" si="14"/>
        <v>3082033702.0107493</v>
      </c>
      <c r="K47" s="21">
        <f t="shared" si="2"/>
        <v>277383033.18096745</v>
      </c>
      <c r="L47" s="21">
        <f t="shared" si="3"/>
        <v>130986432.33545686</v>
      </c>
      <c r="M47" s="21">
        <f t="shared" si="4"/>
        <v>146396600.8455106</v>
      </c>
      <c r="N47" s="39">
        <f t="shared" si="15"/>
        <v>191672702.77630043</v>
      </c>
      <c r="O47" s="19">
        <f t="shared" si="5"/>
        <v>55018666.560210422</v>
      </c>
      <c r="P47" s="19">
        <f t="shared" si="16"/>
        <v>136654036.21609002</v>
      </c>
      <c r="Q47" s="19">
        <f t="shared" si="17"/>
        <v>130986432.33545686</v>
      </c>
      <c r="R47" s="19">
        <f t="shared" si="7"/>
        <v>5667603.8806331605</v>
      </c>
      <c r="S47" s="19">
        <f t="shared" si="18"/>
        <v>1405145562.8061724</v>
      </c>
      <c r="T47" s="19">
        <f t="shared" si="19"/>
        <v>126463100.65255551</v>
      </c>
      <c r="U47" s="39">
        <f t="shared" si="20"/>
        <v>1676888139.2045782</v>
      </c>
      <c r="V47" s="19">
        <f t="shared" si="21"/>
        <v>150919932.52841201</v>
      </c>
      <c r="W47" s="19">
        <f t="shared" si="22"/>
        <v>136654036.21609002</v>
      </c>
      <c r="X47" s="19">
        <f t="shared" si="23"/>
        <v>14265896.312321991</v>
      </c>
      <c r="Y47" s="39">
        <f t="shared" si="28"/>
        <v>55588946.553916104</v>
      </c>
      <c r="Z47" s="19">
        <f t="shared" si="29"/>
        <v>81065089.662173927</v>
      </c>
      <c r="AA47" s="19">
        <f t="shared" si="30"/>
        <v>6670621167.2924213</v>
      </c>
      <c r="AB47" s="19">
        <f t="shared" si="31"/>
        <v>600355905.05631793</v>
      </c>
      <c r="AC47" s="39">
        <f t="shared" si="24"/>
        <v>8347509306.4970016</v>
      </c>
      <c r="AD47" s="19">
        <f t="shared" si="25"/>
        <v>751275837.58473015</v>
      </c>
      <c r="AE47" s="19">
        <f t="shared" si="26"/>
        <v>55588946.553916104</v>
      </c>
      <c r="AF47" s="87">
        <f t="shared" si="27"/>
        <v>695686891.03081405</v>
      </c>
      <c r="AG47" s="57">
        <f>Summary!R47</f>
        <v>0.04</v>
      </c>
      <c r="AH47" s="57">
        <f>Summary!S47</f>
        <v>0</v>
      </c>
      <c r="AI47" s="57">
        <f>Summary!T47</f>
        <v>0.04</v>
      </c>
      <c r="AJ47" s="57">
        <f>Summary!U47</f>
        <v>0</v>
      </c>
      <c r="AK47" s="57">
        <f>Summary!V47</f>
        <v>1</v>
      </c>
      <c r="AL47" s="57">
        <f>Summary!W47</f>
        <v>3.3000000000000002E-2</v>
      </c>
      <c r="AM47" s="57">
        <f>Summary!X47</f>
        <v>1</v>
      </c>
      <c r="AN47" s="57">
        <f>Summary!Y47</f>
        <v>1</v>
      </c>
      <c r="AO47" s="57">
        <f>Summary!Z47</f>
        <v>0.09</v>
      </c>
      <c r="AP47" s="57">
        <f>Summary!AA47</f>
        <v>4.2500000000000003E-2</v>
      </c>
      <c r="AQ47" s="57">
        <f>Summary!AB47</f>
        <v>3.3000000000000002E-2</v>
      </c>
    </row>
    <row r="48" spans="1:43">
      <c r="A48" s="16"/>
      <c r="B48" s="12"/>
      <c r="C48" s="6">
        <f t="shared" si="8"/>
        <v>46</v>
      </c>
      <c r="D48" s="21">
        <f t="shared" si="9"/>
        <v>0</v>
      </c>
      <c r="E48" s="21">
        <f t="shared" si="10"/>
        <v>199339610.88735247</v>
      </c>
      <c r="F48" s="21">
        <f t="shared" si="11"/>
        <v>199339610.88735247</v>
      </c>
      <c r="G48" s="21">
        <f t="shared" si="12"/>
        <v>38793322.586160436</v>
      </c>
      <c r="H48" s="21">
        <f>'CapEx Estimates'!E48</f>
        <v>17227085.042070985</v>
      </c>
      <c r="I48" s="20">
        <f t="shared" si="13"/>
        <v>143319203.25912106</v>
      </c>
      <c r="J48" s="21">
        <f t="shared" si="14"/>
        <v>3228430302.8562598</v>
      </c>
      <c r="K48" s="21">
        <f t="shared" si="2"/>
        <v>290558727.25706339</v>
      </c>
      <c r="L48" s="21">
        <f t="shared" si="3"/>
        <v>137208287.87139106</v>
      </c>
      <c r="M48" s="21">
        <f t="shared" si="4"/>
        <v>153350439.38567233</v>
      </c>
      <c r="N48" s="39">
        <f t="shared" si="15"/>
        <v>199339610.88735247</v>
      </c>
      <c r="O48" s="19">
        <f t="shared" si="5"/>
        <v>56020407.628231421</v>
      </c>
      <c r="P48" s="19">
        <f t="shared" si="16"/>
        <v>143319203.25912106</v>
      </c>
      <c r="Q48" s="19">
        <f t="shared" si="17"/>
        <v>137208287.87139106</v>
      </c>
      <c r="R48" s="19">
        <f t="shared" si="7"/>
        <v>6110915.3877300024</v>
      </c>
      <c r="S48" s="19">
        <f t="shared" si="18"/>
        <v>1537276267.339361</v>
      </c>
      <c r="T48" s="19">
        <f t="shared" si="19"/>
        <v>138354864.06054249</v>
      </c>
      <c r="U48" s="39">
        <f t="shared" si="20"/>
        <v>1691154035.5169001</v>
      </c>
      <c r="V48" s="19">
        <f t="shared" si="21"/>
        <v>152203863.19652101</v>
      </c>
      <c r="W48" s="19">
        <f t="shared" si="22"/>
        <v>143319203.25912106</v>
      </c>
      <c r="X48" s="19">
        <f t="shared" si="23"/>
        <v>8884659.9373999536</v>
      </c>
      <c r="Y48" s="39">
        <f t="shared" si="28"/>
        <v>57423381.790195331</v>
      </c>
      <c r="Z48" s="19">
        <f t="shared" si="29"/>
        <v>85895821.468925729</v>
      </c>
      <c r="AA48" s="19">
        <f t="shared" si="30"/>
        <v>7352042162.0109138</v>
      </c>
      <c r="AB48" s="19">
        <f t="shared" si="31"/>
        <v>661683794.58098221</v>
      </c>
      <c r="AC48" s="39">
        <f t="shared" si="24"/>
        <v>9043196197.5278149</v>
      </c>
      <c r="AD48" s="19">
        <f t="shared" si="25"/>
        <v>813887657.77750325</v>
      </c>
      <c r="AE48" s="19">
        <f t="shared" si="26"/>
        <v>57423381.790195331</v>
      </c>
      <c r="AF48" s="87">
        <f t="shared" si="27"/>
        <v>756464275.98730791</v>
      </c>
      <c r="AG48" s="57">
        <f>Summary!R48</f>
        <v>0.04</v>
      </c>
      <c r="AH48" s="57">
        <f>Summary!S48</f>
        <v>0</v>
      </c>
      <c r="AI48" s="57">
        <f>Summary!T48</f>
        <v>0.04</v>
      </c>
      <c r="AJ48" s="57">
        <f>Summary!U48</f>
        <v>0</v>
      </c>
      <c r="AK48" s="57">
        <f>Summary!V48</f>
        <v>1</v>
      </c>
      <c r="AL48" s="57">
        <f>Summary!W48</f>
        <v>3.3000000000000002E-2</v>
      </c>
      <c r="AM48" s="57">
        <f>Summary!X48</f>
        <v>1</v>
      </c>
      <c r="AN48" s="57">
        <f>Summary!Y48</f>
        <v>1</v>
      </c>
      <c r="AO48" s="57">
        <f>Summary!Z48</f>
        <v>0.09</v>
      </c>
      <c r="AP48" s="57">
        <f>Summary!AA48</f>
        <v>4.2500000000000003E-2</v>
      </c>
      <c r="AQ48" s="57">
        <f>Summary!AB48</f>
        <v>3.3000000000000002E-2</v>
      </c>
    </row>
    <row r="49" spans="1:43">
      <c r="A49" s="16"/>
      <c r="B49" s="12"/>
      <c r="C49" s="6">
        <f t="shared" si="8"/>
        <v>47</v>
      </c>
      <c r="D49" s="21">
        <f t="shared" si="9"/>
        <v>0</v>
      </c>
      <c r="E49" s="21">
        <f t="shared" si="10"/>
        <v>207313195.32284656</v>
      </c>
      <c r="F49" s="21">
        <f t="shared" si="11"/>
        <v>207313195.32284656</v>
      </c>
      <c r="G49" s="21">
        <f t="shared" si="12"/>
        <v>40073502.231503725</v>
      </c>
      <c r="H49" s="21">
        <f>'CapEx Estimates'!E49</f>
        <v>17871174.963109359</v>
      </c>
      <c r="I49" s="20">
        <f t="shared" si="13"/>
        <v>149368518.12823349</v>
      </c>
      <c r="J49" s="21">
        <f t="shared" si="14"/>
        <v>3381780742.2419319</v>
      </c>
      <c r="K49" s="21">
        <f t="shared" si="2"/>
        <v>304360266.80177385</v>
      </c>
      <c r="L49" s="21">
        <f t="shared" si="3"/>
        <v>143725681.54528213</v>
      </c>
      <c r="M49" s="21">
        <f t="shared" si="4"/>
        <v>160634585.25649172</v>
      </c>
      <c r="N49" s="39">
        <f t="shared" si="15"/>
        <v>207313195.32284656</v>
      </c>
      <c r="O49" s="19">
        <f t="shared" si="5"/>
        <v>57944677.194613084</v>
      </c>
      <c r="P49" s="19">
        <f t="shared" si="16"/>
        <v>149368518.12823349</v>
      </c>
      <c r="Q49" s="19">
        <f t="shared" si="17"/>
        <v>143725681.54528213</v>
      </c>
      <c r="R49" s="19">
        <f t="shared" si="7"/>
        <v>5642836.5829513669</v>
      </c>
      <c r="S49" s="19">
        <f t="shared" si="18"/>
        <v>1681742046.7876334</v>
      </c>
      <c r="T49" s="19">
        <f t="shared" si="19"/>
        <v>151356784.21088701</v>
      </c>
      <c r="U49" s="39">
        <f t="shared" si="20"/>
        <v>1700038695.4542999</v>
      </c>
      <c r="V49" s="19">
        <f t="shared" si="21"/>
        <v>153003482.59088698</v>
      </c>
      <c r="W49" s="19">
        <f t="shared" si="22"/>
        <v>149368518.12823349</v>
      </c>
      <c r="X49" s="19">
        <f t="shared" si="23"/>
        <v>3634964.4626534879</v>
      </c>
      <c r="Y49" s="39">
        <f t="shared" si="28"/>
        <v>59318353.389271773</v>
      </c>
      <c r="Z49" s="19">
        <f t="shared" si="29"/>
        <v>90050164.738961726</v>
      </c>
      <c r="AA49" s="19">
        <f t="shared" si="30"/>
        <v>8099621778.0608215</v>
      </c>
      <c r="AB49" s="19">
        <f t="shared" si="31"/>
        <v>728965960.02547395</v>
      </c>
      <c r="AC49" s="39">
        <f t="shared" si="24"/>
        <v>9799660473.5151234</v>
      </c>
      <c r="AD49" s="19">
        <f t="shared" si="25"/>
        <v>881969442.61636102</v>
      </c>
      <c r="AE49" s="19">
        <f t="shared" si="26"/>
        <v>59318353.389271773</v>
      </c>
      <c r="AF49" s="87">
        <f t="shared" si="27"/>
        <v>822651089.22708929</v>
      </c>
      <c r="AG49" s="57">
        <f>Summary!R49</f>
        <v>0.04</v>
      </c>
      <c r="AH49" s="57">
        <f>Summary!S49</f>
        <v>0</v>
      </c>
      <c r="AI49" s="57">
        <f>Summary!T49</f>
        <v>0.04</v>
      </c>
      <c r="AJ49" s="57">
        <f>Summary!U49</f>
        <v>0</v>
      </c>
      <c r="AK49" s="57">
        <f>Summary!V49</f>
        <v>1</v>
      </c>
      <c r="AL49" s="57">
        <f>Summary!W49</f>
        <v>3.3000000000000002E-2</v>
      </c>
      <c r="AM49" s="57">
        <f>Summary!X49</f>
        <v>1</v>
      </c>
      <c r="AN49" s="57">
        <f>Summary!Y49</f>
        <v>1</v>
      </c>
      <c r="AO49" s="57">
        <f>Summary!Z49</f>
        <v>0.09</v>
      </c>
      <c r="AP49" s="57">
        <f>Summary!AA49</f>
        <v>4.2500000000000003E-2</v>
      </c>
      <c r="AQ49" s="57">
        <f>Summary!AB49</f>
        <v>3.3000000000000002E-2</v>
      </c>
    </row>
    <row r="50" spans="1:43">
      <c r="A50" s="16"/>
      <c r="B50" s="12"/>
      <c r="C50" s="6">
        <f t="shared" si="8"/>
        <v>48</v>
      </c>
      <c r="D50" s="21">
        <f t="shared" si="9"/>
        <v>0</v>
      </c>
      <c r="E50" s="21">
        <f t="shared" si="10"/>
        <v>215605723.13576043</v>
      </c>
      <c r="F50" s="21">
        <f t="shared" si="11"/>
        <v>215605723.13576043</v>
      </c>
      <c r="G50" s="21">
        <f t="shared" si="12"/>
        <v>41395927.805143341</v>
      </c>
      <c r="H50" s="21">
        <f>'CapEx Estimates'!E50</f>
        <v>18436442.587751422</v>
      </c>
      <c r="I50" s="20">
        <f t="shared" si="13"/>
        <v>155773352.74286565</v>
      </c>
      <c r="J50" s="21">
        <f t="shared" si="14"/>
        <v>3542415327.4984236</v>
      </c>
      <c r="K50" s="21">
        <f t="shared" si="2"/>
        <v>318817379.47485811</v>
      </c>
      <c r="L50" s="21">
        <f t="shared" si="3"/>
        <v>150552651.41868302</v>
      </c>
      <c r="M50" s="21">
        <f t="shared" si="4"/>
        <v>168264728.05617508</v>
      </c>
      <c r="N50" s="39">
        <f t="shared" si="15"/>
        <v>215605723.13576043</v>
      </c>
      <c r="O50" s="19">
        <f t="shared" si="5"/>
        <v>59832370.39289476</v>
      </c>
      <c r="P50" s="19">
        <f t="shared" si="16"/>
        <v>155773352.74286568</v>
      </c>
      <c r="Q50" s="19">
        <f t="shared" si="17"/>
        <v>150552651.41868302</v>
      </c>
      <c r="R50" s="19">
        <f t="shared" si="7"/>
        <v>5220701.3241826594</v>
      </c>
      <c r="S50" s="19">
        <f t="shared" si="18"/>
        <v>1838741667.5814717</v>
      </c>
      <c r="T50" s="19">
        <f t="shared" si="19"/>
        <v>165486750.08233243</v>
      </c>
      <c r="U50" s="39">
        <f t="shared" si="20"/>
        <v>1703673659.9169533</v>
      </c>
      <c r="V50" s="19">
        <f t="shared" si="21"/>
        <v>153330629.39252579</v>
      </c>
      <c r="W50" s="19">
        <f t="shared" si="22"/>
        <v>155773352.74286568</v>
      </c>
      <c r="X50" s="19">
        <f t="shared" si="23"/>
        <v>-2442723.3503398895</v>
      </c>
      <c r="Y50" s="39">
        <f t="shared" si="28"/>
        <v>61275859.051117741</v>
      </c>
      <c r="Z50" s="19">
        <f t="shared" si="29"/>
        <v>94497493.691747934</v>
      </c>
      <c r="AA50" s="19">
        <f t="shared" si="30"/>
        <v>8918637902.8252583</v>
      </c>
      <c r="AB50" s="19">
        <f t="shared" si="31"/>
        <v>802677411.25427318</v>
      </c>
      <c r="AC50" s="39">
        <f t="shared" si="24"/>
        <v>10622311562.742212</v>
      </c>
      <c r="AD50" s="19">
        <f t="shared" si="25"/>
        <v>956008040.64679909</v>
      </c>
      <c r="AE50" s="19">
        <f t="shared" si="26"/>
        <v>61275859.051117741</v>
      </c>
      <c r="AF50" s="87">
        <f t="shared" si="27"/>
        <v>894732181.59568131</v>
      </c>
      <c r="AG50" s="57">
        <f>Summary!R50</f>
        <v>0.04</v>
      </c>
      <c r="AH50" s="57">
        <f>Summary!S50</f>
        <v>0</v>
      </c>
      <c r="AI50" s="57">
        <f>Summary!T50</f>
        <v>0.04</v>
      </c>
      <c r="AJ50" s="57">
        <f>Summary!U50</f>
        <v>0</v>
      </c>
      <c r="AK50" s="57">
        <f>Summary!V50</f>
        <v>1</v>
      </c>
      <c r="AL50" s="57">
        <f>Summary!W50</f>
        <v>3.3000000000000002E-2</v>
      </c>
      <c r="AM50" s="57">
        <f>Summary!X50</f>
        <v>1</v>
      </c>
      <c r="AN50" s="57">
        <f>Summary!Y50</f>
        <v>1</v>
      </c>
      <c r="AO50" s="57">
        <f>Summary!Z50</f>
        <v>0.09</v>
      </c>
      <c r="AP50" s="57">
        <f>Summary!AA50</f>
        <v>4.2500000000000003E-2</v>
      </c>
      <c r="AQ50" s="57">
        <f>Summary!AB50</f>
        <v>3.3000000000000002E-2</v>
      </c>
    </row>
    <row r="51" spans="1:43">
      <c r="A51" s="16"/>
      <c r="B51" s="12"/>
      <c r="C51" s="6">
        <f t="shared" si="8"/>
        <v>49</v>
      </c>
      <c r="D51" s="21">
        <f t="shared" si="9"/>
        <v>0</v>
      </c>
      <c r="E51" s="21">
        <f t="shared" si="10"/>
        <v>224229952.06119084</v>
      </c>
      <c r="F51" s="21">
        <f t="shared" si="11"/>
        <v>224229952.06119084</v>
      </c>
      <c r="G51" s="21">
        <f t="shared" si="12"/>
        <v>42761993.422713071</v>
      </c>
      <c r="H51" s="21">
        <f>'CapEx Estimates'!E51</f>
        <v>18914519.997830838</v>
      </c>
      <c r="I51" s="20">
        <f t="shared" si="13"/>
        <v>162553438.64064693</v>
      </c>
      <c r="J51" s="21">
        <f t="shared" si="14"/>
        <v>3710680055.5545988</v>
      </c>
      <c r="K51" s="21">
        <f t="shared" si="2"/>
        <v>333961204.99991387</v>
      </c>
      <c r="L51" s="21">
        <f t="shared" si="3"/>
        <v>157703902.36107045</v>
      </c>
      <c r="M51" s="21">
        <f t="shared" si="4"/>
        <v>176257302.63884342</v>
      </c>
      <c r="N51" s="39">
        <f t="shared" si="15"/>
        <v>224229952.06119084</v>
      </c>
      <c r="O51" s="19">
        <f t="shared" si="5"/>
        <v>61676513.420543909</v>
      </c>
      <c r="P51" s="19">
        <f t="shared" si="16"/>
        <v>162553438.64064693</v>
      </c>
      <c r="Q51" s="19">
        <f t="shared" si="17"/>
        <v>157703902.36107045</v>
      </c>
      <c r="R51" s="19">
        <f t="shared" si="7"/>
        <v>4849536.2795764804</v>
      </c>
      <c r="S51" s="19">
        <f t="shared" si="18"/>
        <v>2009449118.9879868</v>
      </c>
      <c r="T51" s="19">
        <f t="shared" si="19"/>
        <v>180850420.70891881</v>
      </c>
      <c r="U51" s="39">
        <f t="shared" si="20"/>
        <v>1701230936.5666134</v>
      </c>
      <c r="V51" s="19">
        <f t="shared" si="21"/>
        <v>153110784.29099521</v>
      </c>
      <c r="W51" s="19">
        <f t="shared" si="22"/>
        <v>162553438.64064693</v>
      </c>
      <c r="X51" s="19">
        <f t="shared" si="23"/>
        <v>-9442654.3496517241</v>
      </c>
      <c r="Y51" s="39">
        <f t="shared" si="28"/>
        <v>63297962.399804622</v>
      </c>
      <c r="Z51" s="19">
        <f t="shared" si="29"/>
        <v>99255476.240842313</v>
      </c>
      <c r="AA51" s="19">
        <f t="shared" si="30"/>
        <v>9815812807.7712784</v>
      </c>
      <c r="AB51" s="19">
        <f t="shared" si="31"/>
        <v>883423152.69941497</v>
      </c>
      <c r="AC51" s="39">
        <f t="shared" si="24"/>
        <v>11517043744.337894</v>
      </c>
      <c r="AD51" s="19">
        <f t="shared" si="25"/>
        <v>1036533936.9904104</v>
      </c>
      <c r="AE51" s="19">
        <f t="shared" si="26"/>
        <v>63297962.399804622</v>
      </c>
      <c r="AF51" s="87">
        <f t="shared" si="27"/>
        <v>973235974.59060585</v>
      </c>
      <c r="AG51" s="57">
        <f>Summary!R51</f>
        <v>0.04</v>
      </c>
      <c r="AH51" s="57">
        <f>Summary!S51</f>
        <v>0</v>
      </c>
      <c r="AI51" s="57">
        <f>Summary!T51</f>
        <v>0.04</v>
      </c>
      <c r="AJ51" s="57">
        <f>Summary!U51</f>
        <v>0</v>
      </c>
      <c r="AK51" s="57">
        <f>Summary!V51</f>
        <v>1</v>
      </c>
      <c r="AL51" s="57">
        <f>Summary!W51</f>
        <v>3.3000000000000002E-2</v>
      </c>
      <c r="AM51" s="57">
        <f>Summary!X51</f>
        <v>1</v>
      </c>
      <c r="AN51" s="57">
        <f>Summary!Y51</f>
        <v>1</v>
      </c>
      <c r="AO51" s="57">
        <f>Summary!Z51</f>
        <v>0.09</v>
      </c>
      <c r="AP51" s="57">
        <f>Summary!AA51</f>
        <v>4.2500000000000003E-2</v>
      </c>
      <c r="AQ51" s="57">
        <f>Summary!AB51</f>
        <v>3.3000000000000002E-2</v>
      </c>
    </row>
    <row r="52" spans="1:43" s="24" customFormat="1">
      <c r="A52" s="42"/>
      <c r="B52" s="12"/>
      <c r="C52" s="6">
        <f t="shared" si="8"/>
        <v>50</v>
      </c>
      <c r="D52" s="21">
        <f t="shared" si="9"/>
        <v>0</v>
      </c>
      <c r="E52" s="21">
        <f t="shared" si="10"/>
        <v>233199150.14363849</v>
      </c>
      <c r="F52" s="21">
        <f t="shared" si="11"/>
        <v>233199150.14363849</v>
      </c>
      <c r="G52" s="21">
        <f t="shared" si="12"/>
        <v>44173139.205662601</v>
      </c>
      <c r="H52" s="21">
        <f>'CapEx Estimates'!E52</f>
        <v>19389235.985470112</v>
      </c>
      <c r="I52" s="20">
        <f t="shared" si="13"/>
        <v>169636774.95250577</v>
      </c>
      <c r="J52" s="21">
        <f t="shared" si="14"/>
        <v>3886937358.1934423</v>
      </c>
      <c r="K52" s="21">
        <f t="shared" si="2"/>
        <v>349824362.23740977</v>
      </c>
      <c r="L52" s="21">
        <f t="shared" si="3"/>
        <v>165194837.7232213</v>
      </c>
      <c r="M52" s="21">
        <f t="shared" si="4"/>
        <v>184629524.51418847</v>
      </c>
      <c r="N52" s="39">
        <f t="shared" si="15"/>
        <v>233199150.14363849</v>
      </c>
      <c r="O52" s="19">
        <f t="shared" si="5"/>
        <v>63562375.191132709</v>
      </c>
      <c r="P52" s="19">
        <f t="shared" si="16"/>
        <v>169636774.95250577</v>
      </c>
      <c r="Q52" s="19">
        <f t="shared" si="17"/>
        <v>165194837.7232213</v>
      </c>
      <c r="R52" s="19">
        <f t="shared" si="7"/>
        <v>4441937.2292844653</v>
      </c>
      <c r="S52" s="19">
        <f t="shared" si="18"/>
        <v>2195149075.9764824</v>
      </c>
      <c r="T52" s="19">
        <f t="shared" si="19"/>
        <v>197563416.83788341</v>
      </c>
      <c r="U52" s="39">
        <f t="shared" si="20"/>
        <v>1691788282.2169616</v>
      </c>
      <c r="V52" s="19">
        <f t="shared" si="21"/>
        <v>152260945.39952654</v>
      </c>
      <c r="W52" s="19">
        <f t="shared" si="22"/>
        <v>169636774.95250577</v>
      </c>
      <c r="X52" s="19">
        <f t="shared" si="23"/>
        <v>-17375829.552979231</v>
      </c>
      <c r="Y52" s="39">
        <f t="shared" si="28"/>
        <v>65386795.158998169</v>
      </c>
      <c r="Z52" s="19">
        <f t="shared" si="29"/>
        <v>104249979.79350761</v>
      </c>
      <c r="AA52" s="19">
        <f t="shared" si="30"/>
        <v>10798491436.711536</v>
      </c>
      <c r="AB52" s="19">
        <f t="shared" si="31"/>
        <v>971864229.30403829</v>
      </c>
      <c r="AC52" s="39">
        <f t="shared" si="24"/>
        <v>12490279718.928501</v>
      </c>
      <c r="AD52" s="19">
        <f t="shared" si="25"/>
        <v>1124125174.7035651</v>
      </c>
      <c r="AE52" s="19">
        <f t="shared" si="26"/>
        <v>65386795.158998169</v>
      </c>
      <c r="AF52" s="87">
        <f t="shared" si="27"/>
        <v>1058738379.544567</v>
      </c>
      <c r="AG52" s="57">
        <f>Summary!R52</f>
        <v>0.04</v>
      </c>
      <c r="AH52" s="57">
        <f>Summary!S52</f>
        <v>0</v>
      </c>
      <c r="AI52" s="57">
        <f>Summary!T52</f>
        <v>0.04</v>
      </c>
      <c r="AJ52" s="57">
        <f>Summary!U52</f>
        <v>0</v>
      </c>
      <c r="AK52" s="57">
        <f>Summary!V52</f>
        <v>1</v>
      </c>
      <c r="AL52" s="57">
        <f>Summary!W52</f>
        <v>3.3000000000000002E-2</v>
      </c>
      <c r="AM52" s="57">
        <f>Summary!X52</f>
        <v>1</v>
      </c>
      <c r="AN52" s="57">
        <f>Summary!Y52</f>
        <v>1</v>
      </c>
      <c r="AO52" s="57">
        <f>Summary!Z52</f>
        <v>0.09</v>
      </c>
      <c r="AP52" s="57">
        <f>Summary!AA52</f>
        <v>4.2500000000000003E-2</v>
      </c>
      <c r="AQ52" s="57">
        <f>Summary!AB52</f>
        <v>3.3000000000000002E-2</v>
      </c>
    </row>
    <row r="53" spans="1:43" s="49" customFormat="1">
      <c r="A53" s="44"/>
      <c r="B53" s="45"/>
      <c r="C53" s="46"/>
      <c r="D53" s="22"/>
      <c r="E53" s="22"/>
      <c r="F53" s="22"/>
      <c r="G53" s="22"/>
      <c r="H53" s="22">
        <f>SUM(H3:H52)</f>
        <v>529751656.9778505</v>
      </c>
      <c r="I53" s="47"/>
      <c r="J53" s="48">
        <f t="shared" si="14"/>
        <v>4071566882.7076306</v>
      </c>
      <c r="K53" s="22"/>
      <c r="L53" s="22">
        <f>SUM(L3:L52)</f>
        <v>3285086158.2120929</v>
      </c>
      <c r="M53" s="22"/>
      <c r="N53" s="48"/>
      <c r="O53" s="22"/>
      <c r="P53" s="22"/>
      <c r="Q53" s="22">
        <f t="shared" si="17"/>
        <v>3285086158.2120929</v>
      </c>
      <c r="R53" s="22"/>
      <c r="S53" s="19">
        <f t="shared" si="18"/>
        <v>2397154430.0436502</v>
      </c>
      <c r="T53" s="22"/>
      <c r="U53" s="39">
        <f t="shared" si="20"/>
        <v>1674412452.6639824</v>
      </c>
      <c r="V53" s="22"/>
      <c r="W53" s="22">
        <f>SUM(W3:W52)</f>
        <v>3546767484.806263</v>
      </c>
      <c r="X53" s="22"/>
      <c r="Y53" s="39">
        <f>SUM(Y3:Y52)</f>
        <v>1643103335.7347038</v>
      </c>
      <c r="Z53" s="22"/>
      <c r="AA53" s="19">
        <f t="shared" si="30"/>
        <v>11874605645.809084</v>
      </c>
      <c r="AB53" s="22"/>
      <c r="AC53" s="39">
        <f t="shared" si="24"/>
        <v>13549018098.473068</v>
      </c>
      <c r="AD53" s="22"/>
      <c r="AE53" s="22"/>
    </row>
    <row r="54" spans="1:43">
      <c r="A54" s="25"/>
      <c r="B54" s="8"/>
      <c r="C54" s="8"/>
      <c r="D54" s="25"/>
      <c r="E54" s="25"/>
      <c r="F54" s="25"/>
      <c r="G54" s="25"/>
      <c r="H54" s="25"/>
      <c r="I54" s="50"/>
      <c r="J54" s="25"/>
      <c r="K54" s="25"/>
      <c r="L54" s="25"/>
      <c r="M54" s="25"/>
      <c r="N54" s="25"/>
      <c r="P54" s="51"/>
      <c r="Q54" s="51"/>
      <c r="R54" s="51"/>
      <c r="S54" s="25"/>
      <c r="T54" s="25"/>
      <c r="U54" s="25"/>
      <c r="V54" s="25"/>
      <c r="W54" s="25"/>
      <c r="X54" s="25"/>
      <c r="Y54" s="25"/>
      <c r="Z54" s="25"/>
      <c r="AA54" s="25"/>
      <c r="AB54" s="25"/>
      <c r="AC54" s="25"/>
      <c r="AD54" s="25"/>
      <c r="AE54" s="25"/>
    </row>
  </sheetData>
  <mergeCells count="7">
    <mergeCell ref="Y1:AB1"/>
    <mergeCell ref="AC1:AF1"/>
    <mergeCell ref="D1:I1"/>
    <mergeCell ref="J1:M1"/>
    <mergeCell ref="A1:C1"/>
    <mergeCell ref="N1:T1"/>
    <mergeCell ref="U1:X1"/>
  </mergeCells>
  <phoneticPr fontId="5" type="noConversion"/>
  <pageMargins left="0.75" right="0.75" top="1" bottom="1" header="0.5" footer="0.5"/>
  <pageSetup scale="28" orientation="landscape" horizontalDpi="4294967292" verticalDpi="4294967292" r:id="rId1"/>
  <extLst>
    <ext xmlns:mx="http://schemas.microsoft.com/office/mac/excel/2008/main" uri="{64002731-A6B0-56B0-2670-7721B7C09600}">
      <mx:PLV Mode="0" OnePage="0" WScale="39"/>
    </ext>
  </extLst>
</worksheet>
</file>

<file path=xl/worksheets/sheet3.xml><?xml version="1.0" encoding="utf-8"?>
<worksheet xmlns="http://schemas.openxmlformats.org/spreadsheetml/2006/main" xmlns:r="http://schemas.openxmlformats.org/officeDocument/2006/relationships">
  <dimension ref="A2:I53"/>
  <sheetViews>
    <sheetView workbookViewId="0">
      <selection activeCell="I6" sqref="I6"/>
    </sheetView>
  </sheetViews>
  <sheetFormatPr defaultRowHeight="11.25"/>
  <cols>
    <col min="1" max="1" width="9" style="52"/>
    <col min="2" max="2" width="14.75" style="52" bestFit="1" customWidth="1"/>
    <col min="3" max="3" width="9" style="52"/>
    <col min="4" max="4" width="10.5" style="52" bestFit="1" customWidth="1"/>
    <col min="5" max="7" width="10.5" style="52" customWidth="1"/>
    <col min="8" max="8" width="20.125" style="52" customWidth="1"/>
    <col min="9" max="9" width="11.625" style="52" customWidth="1"/>
    <col min="10" max="16384" width="9" style="52"/>
  </cols>
  <sheetData>
    <row r="2" spans="1:9" ht="31.5">
      <c r="A2" s="52" t="s">
        <v>0</v>
      </c>
      <c r="B2" s="59" t="s">
        <v>45</v>
      </c>
      <c r="C2" s="60" t="s">
        <v>47</v>
      </c>
      <c r="D2" s="60" t="s">
        <v>54</v>
      </c>
      <c r="E2" s="60" t="s">
        <v>55</v>
      </c>
      <c r="F2" s="60"/>
      <c r="G2" s="60" t="s">
        <v>49</v>
      </c>
      <c r="H2" s="60"/>
    </row>
    <row r="3" spans="1:9">
      <c r="A3" s="52">
        <f>Calculations!C3</f>
        <v>1</v>
      </c>
      <c r="B3" s="53">
        <f>Calculations!I3</f>
        <v>13322149.32</v>
      </c>
      <c r="C3" s="61">
        <f>IF(A3&lt;=I5,I$4/I5,0)</f>
        <v>13333333.333333334</v>
      </c>
      <c r="D3" s="53">
        <f>(B3-C3)*0.35</f>
        <v>-3914.4046666667796</v>
      </c>
      <c r="E3" s="53">
        <f>B3-D3</f>
        <v>13326063.724666666</v>
      </c>
      <c r="F3" s="53">
        <f>E3*G3</f>
        <v>12571758.230817609</v>
      </c>
      <c r="G3" s="62">
        <f>(1+I$3)^-A3</f>
        <v>0.94339622641509424</v>
      </c>
      <c r="H3" s="52" t="s">
        <v>50</v>
      </c>
      <c r="I3" s="58">
        <f>Summary!C22</f>
        <v>0.06</v>
      </c>
    </row>
    <row r="4" spans="1:9">
      <c r="A4" s="52">
        <f>Calculations!C4</f>
        <v>2</v>
      </c>
      <c r="B4" s="53">
        <f>Calculations!I4</f>
        <v>17936360.844599996</v>
      </c>
      <c r="C4" s="61">
        <f>IF(A4&lt;=I$5,I$4/I$5,0)</f>
        <v>13333333.333333334</v>
      </c>
      <c r="D4" s="53">
        <f t="shared" ref="D4:D52" si="0">(B4-C4)*0.35</f>
        <v>1611059.6289433315</v>
      </c>
      <c r="E4" s="53">
        <f t="shared" ref="E4:E52" si="1">B4-D4</f>
        <v>16325301.215656664</v>
      </c>
      <c r="F4" s="53">
        <f t="shared" ref="F4:F52" si="2">E4*G4</f>
        <v>14529459.964094574</v>
      </c>
      <c r="G4" s="62">
        <f t="shared" ref="G4:G10" si="3">(1+I$3)^-A4</f>
        <v>0.88999644001423983</v>
      </c>
      <c r="H4" s="52" t="s">
        <v>48</v>
      </c>
      <c r="I4" s="63">
        <f>Summary!C28</f>
        <v>400000000</v>
      </c>
    </row>
    <row r="5" spans="1:9">
      <c r="A5" s="52">
        <f>Calculations!C5</f>
        <v>3</v>
      </c>
      <c r="B5" s="53">
        <f>Calculations!I5</f>
        <v>19090538.388512991</v>
      </c>
      <c r="C5" s="61">
        <f t="shared" ref="C5:C52" si="4">IF(A5&lt;=I$5,I$4/I$5,0)</f>
        <v>13333333.333333334</v>
      </c>
      <c r="D5" s="53">
        <f t="shared" si="0"/>
        <v>2015021.76931288</v>
      </c>
      <c r="E5" s="53">
        <f t="shared" si="1"/>
        <v>17075516.61920011</v>
      </c>
      <c r="F5" s="53">
        <f t="shared" si="2"/>
        <v>14336933.021218948</v>
      </c>
      <c r="G5" s="62">
        <f t="shared" si="3"/>
        <v>0.8396192830323016</v>
      </c>
      <c r="H5" s="52" t="s">
        <v>53</v>
      </c>
      <c r="I5" s="52">
        <f>Summary!C29</f>
        <v>30</v>
      </c>
    </row>
    <row r="6" spans="1:9">
      <c r="A6" s="52">
        <f>Calculations!C6</f>
        <v>4</v>
      </c>
      <c r="B6" s="53">
        <f>Calculations!I6</f>
        <v>20385924.235228386</v>
      </c>
      <c r="C6" s="61">
        <f t="shared" si="4"/>
        <v>13333333.333333334</v>
      </c>
      <c r="D6" s="53">
        <f t="shared" si="0"/>
        <v>2468406.8156632679</v>
      </c>
      <c r="E6" s="53">
        <f t="shared" si="1"/>
        <v>17917517.419565119</v>
      </c>
      <c r="F6" s="53">
        <f t="shared" si="2"/>
        <v>14192352.008994378</v>
      </c>
      <c r="G6" s="62">
        <f t="shared" si="3"/>
        <v>0.79209366323802044</v>
      </c>
    </row>
    <row r="7" spans="1:9">
      <c r="A7" s="52">
        <f>Calculations!C7</f>
        <v>5</v>
      </c>
      <c r="B7" s="53">
        <f>Calculations!I7</f>
        <v>21863810.177572567</v>
      </c>
      <c r="C7" s="61">
        <f t="shared" si="4"/>
        <v>13333333.333333334</v>
      </c>
      <c r="D7" s="53">
        <f t="shared" si="0"/>
        <v>2985666.8954837313</v>
      </c>
      <c r="E7" s="53">
        <f t="shared" si="1"/>
        <v>18878143.282088835</v>
      </c>
      <c r="F7" s="53">
        <f t="shared" si="2"/>
        <v>14106846.856077328</v>
      </c>
      <c r="G7" s="62">
        <f t="shared" si="3"/>
        <v>0.74725817286605689</v>
      </c>
    </row>
    <row r="8" spans="1:9">
      <c r="A8" s="52">
        <f>Calculations!C8</f>
        <v>6</v>
      </c>
      <c r="B8" s="53">
        <f>Calculations!I8</f>
        <v>23609681.94252611</v>
      </c>
      <c r="C8" s="61">
        <f t="shared" si="4"/>
        <v>13333333.333333334</v>
      </c>
      <c r="D8" s="53">
        <f t="shared" si="0"/>
        <v>3596722.0132174711</v>
      </c>
      <c r="E8" s="53">
        <f t="shared" si="1"/>
        <v>20012959.929308638</v>
      </c>
      <c r="F8" s="53">
        <f t="shared" si="2"/>
        <v>14108347.047563003</v>
      </c>
      <c r="G8" s="62">
        <f t="shared" si="3"/>
        <v>0.70496054043967626</v>
      </c>
    </row>
    <row r="9" spans="1:9">
      <c r="A9" s="52">
        <f>Calculations!C9</f>
        <v>7</v>
      </c>
      <c r="B9" s="53">
        <f>Calculations!I9</f>
        <v>25227415.763082329</v>
      </c>
      <c r="C9" s="61">
        <f t="shared" si="4"/>
        <v>13333333.333333334</v>
      </c>
      <c r="D9" s="53">
        <f t="shared" si="0"/>
        <v>4162928.8504121481</v>
      </c>
      <c r="E9" s="53">
        <f t="shared" si="1"/>
        <v>21064486.91267018</v>
      </c>
      <c r="F9" s="53">
        <f t="shared" si="2"/>
        <v>14009086.866075901</v>
      </c>
      <c r="G9" s="62">
        <f t="shared" si="3"/>
        <v>0.66505711362233599</v>
      </c>
    </row>
    <row r="10" spans="1:9">
      <c r="A10" s="52">
        <f>Calculations!C10</f>
        <v>8</v>
      </c>
      <c r="B10" s="53">
        <f>Calculations!I10</f>
        <v>26976632.674319625</v>
      </c>
      <c r="C10" s="61">
        <f t="shared" si="4"/>
        <v>13333333.333333334</v>
      </c>
      <c r="D10" s="53">
        <f t="shared" si="0"/>
        <v>4775154.7693452016</v>
      </c>
      <c r="E10" s="53">
        <f t="shared" si="1"/>
        <v>22201477.904974423</v>
      </c>
      <c r="F10" s="53">
        <f t="shared" si="2"/>
        <v>13929481.899653168</v>
      </c>
      <c r="G10" s="62">
        <f t="shared" si="3"/>
        <v>0.62741237134182648</v>
      </c>
    </row>
    <row r="11" spans="1:9">
      <c r="A11" s="52">
        <f>Calculations!C11</f>
        <v>9</v>
      </c>
      <c r="B11" s="53">
        <f>Calculations!I11</f>
        <v>28866048.086169202</v>
      </c>
      <c r="C11" s="61">
        <f t="shared" si="4"/>
        <v>13333333.333333334</v>
      </c>
      <c r="D11" s="53">
        <f t="shared" si="0"/>
        <v>5436450.1634925539</v>
      </c>
      <c r="E11" s="53">
        <f t="shared" si="1"/>
        <v>23429597.922676649</v>
      </c>
      <c r="F11" s="53">
        <f t="shared" si="2"/>
        <v>13867943.011558574</v>
      </c>
      <c r="G11" s="62">
        <f t="shared" ref="G11:G52" si="5">(1+I$3)^-A11</f>
        <v>0.59189846353002495</v>
      </c>
    </row>
    <row r="12" spans="1:9">
      <c r="A12" s="52">
        <f>Calculations!C12</f>
        <v>10</v>
      </c>
      <c r="B12" s="53">
        <f>Calculations!I12</f>
        <v>30876460.324131515</v>
      </c>
      <c r="C12" s="61">
        <f t="shared" si="4"/>
        <v>13333333.333333334</v>
      </c>
      <c r="D12" s="53">
        <f t="shared" si="0"/>
        <v>6140094.4467793638</v>
      </c>
      <c r="E12" s="53">
        <f t="shared" si="1"/>
        <v>24736365.877352152</v>
      </c>
      <c r="F12" s="53">
        <f t="shared" si="2"/>
        <v>13812657.505774789</v>
      </c>
      <c r="G12" s="62">
        <f t="shared" si="5"/>
        <v>0.55839477691511785</v>
      </c>
    </row>
    <row r="13" spans="1:9">
      <c r="A13" s="52">
        <f>Calculations!C13</f>
        <v>11</v>
      </c>
      <c r="B13" s="53">
        <f>Calculations!I13</f>
        <v>29225689.105316333</v>
      </c>
      <c r="C13" s="61">
        <f t="shared" si="4"/>
        <v>13333333.333333334</v>
      </c>
      <c r="D13" s="53">
        <f t="shared" si="0"/>
        <v>5562324.5201940499</v>
      </c>
      <c r="E13" s="53">
        <f t="shared" si="1"/>
        <v>23663364.585122284</v>
      </c>
      <c r="F13" s="53">
        <f t="shared" si="2"/>
        <v>12465565.27223628</v>
      </c>
      <c r="G13" s="62">
        <f t="shared" si="5"/>
        <v>0.52678752539162055</v>
      </c>
    </row>
    <row r="14" spans="1:9">
      <c r="A14" s="52">
        <f>Calculations!C14</f>
        <v>12</v>
      </c>
      <c r="B14" s="53">
        <f>Calculations!I14</f>
        <v>32939233.624499522</v>
      </c>
      <c r="C14" s="61">
        <f t="shared" si="4"/>
        <v>13333333.333333334</v>
      </c>
      <c r="D14" s="53">
        <f t="shared" si="0"/>
        <v>6862065.101908165</v>
      </c>
      <c r="E14" s="53">
        <f t="shared" si="1"/>
        <v>26077168.522591356</v>
      </c>
      <c r="F14" s="53">
        <f t="shared" si="2"/>
        <v>12959553.844562417</v>
      </c>
      <c r="G14" s="62">
        <f t="shared" si="5"/>
        <v>0.4969693635770005</v>
      </c>
    </row>
    <row r="15" spans="1:9">
      <c r="A15" s="52">
        <f>Calculations!C15</f>
        <v>13</v>
      </c>
      <c r="B15" s="53">
        <f>Calculations!I15</f>
        <v>34216263.376249418</v>
      </c>
      <c r="C15" s="61">
        <f t="shared" si="4"/>
        <v>13333333.333333334</v>
      </c>
      <c r="D15" s="53">
        <f t="shared" si="0"/>
        <v>7309025.5150206285</v>
      </c>
      <c r="E15" s="53">
        <f t="shared" si="1"/>
        <v>26907237.86122879</v>
      </c>
      <c r="F15" s="53">
        <f t="shared" si="2"/>
        <v>12615163.090103626</v>
      </c>
      <c r="G15" s="62">
        <f t="shared" si="5"/>
        <v>0.46883902224245327</v>
      </c>
    </row>
    <row r="16" spans="1:9">
      <c r="A16" s="52">
        <f>Calculations!C16</f>
        <v>14</v>
      </c>
      <c r="B16" s="53">
        <f>Calculations!I16</f>
        <v>35637335.112461716</v>
      </c>
      <c r="C16" s="61">
        <f t="shared" si="4"/>
        <v>13333333.333333334</v>
      </c>
      <c r="D16" s="53">
        <f t="shared" si="0"/>
        <v>7806400.6226949329</v>
      </c>
      <c r="E16" s="53">
        <f t="shared" si="1"/>
        <v>27830934.489766784</v>
      </c>
      <c r="F16" s="53">
        <f t="shared" si="2"/>
        <v>12309649.164411349</v>
      </c>
      <c r="G16" s="62">
        <f t="shared" si="5"/>
        <v>0.44230096437967292</v>
      </c>
    </row>
    <row r="17" spans="1:7">
      <c r="A17" s="52">
        <f>Calculations!C17</f>
        <v>15</v>
      </c>
      <c r="B17" s="53">
        <f>Calculations!I17</f>
        <v>37254192.316323034</v>
      </c>
      <c r="C17" s="61">
        <f t="shared" si="4"/>
        <v>13333333.333333334</v>
      </c>
      <c r="D17" s="53">
        <f t="shared" si="0"/>
        <v>8372300.6440463942</v>
      </c>
      <c r="E17" s="53">
        <f t="shared" si="1"/>
        <v>28881891.672276638</v>
      </c>
      <c r="F17" s="53">
        <f t="shared" si="2"/>
        <v>12051404.28278981</v>
      </c>
      <c r="G17" s="62">
        <f t="shared" si="5"/>
        <v>0.41726506073554037</v>
      </c>
    </row>
    <row r="18" spans="1:7">
      <c r="A18" s="52">
        <f>Calculations!C18</f>
        <v>16</v>
      </c>
      <c r="B18" s="53">
        <f>Calculations!I18</f>
        <v>39233963.780798391</v>
      </c>
      <c r="C18" s="61">
        <f t="shared" si="4"/>
        <v>13333333.333333334</v>
      </c>
      <c r="D18" s="53">
        <f t="shared" si="0"/>
        <v>9065220.6566127688</v>
      </c>
      <c r="E18" s="53">
        <f t="shared" si="1"/>
        <v>30168743.124185622</v>
      </c>
      <c r="F18" s="53">
        <f t="shared" si="2"/>
        <v>11875813.615120975</v>
      </c>
      <c r="G18" s="62">
        <f t="shared" si="5"/>
        <v>0.39364628371277405</v>
      </c>
    </row>
    <row r="19" spans="1:7">
      <c r="A19" s="52">
        <f>Calculations!C19</f>
        <v>17</v>
      </c>
      <c r="B19" s="53">
        <f>Calculations!I19</f>
        <v>40929206.472641535</v>
      </c>
      <c r="C19" s="61">
        <f t="shared" si="4"/>
        <v>13333333.333333334</v>
      </c>
      <c r="D19" s="53">
        <f t="shared" si="0"/>
        <v>9658555.5987578686</v>
      </c>
      <c r="E19" s="53">
        <f t="shared" si="1"/>
        <v>31270650.873883665</v>
      </c>
      <c r="F19" s="53">
        <f t="shared" si="2"/>
        <v>11612807.080928219</v>
      </c>
      <c r="G19" s="62">
        <f t="shared" si="5"/>
        <v>0.37136441859695657</v>
      </c>
    </row>
    <row r="20" spans="1:7">
      <c r="A20" s="52">
        <f>Calculations!C20</f>
        <v>18</v>
      </c>
      <c r="B20" s="53">
        <f>Calculations!I20</f>
        <v>42738874.88411852</v>
      </c>
      <c r="C20" s="61">
        <f t="shared" si="4"/>
        <v>13333333.333333334</v>
      </c>
      <c r="D20" s="53">
        <f t="shared" si="0"/>
        <v>10291939.542774813</v>
      </c>
      <c r="E20" s="53">
        <f t="shared" si="1"/>
        <v>32446935.341343708</v>
      </c>
      <c r="F20" s="53">
        <f t="shared" si="2"/>
        <v>11367582.338010518</v>
      </c>
      <c r="G20" s="62">
        <f t="shared" si="5"/>
        <v>0.35034379112920433</v>
      </c>
    </row>
    <row r="21" spans="1:7">
      <c r="A21" s="52">
        <f>Calculations!C21</f>
        <v>19</v>
      </c>
      <c r="B21" s="53">
        <f>Calculations!I21</f>
        <v>44669810.556406036</v>
      </c>
      <c r="C21" s="61">
        <f t="shared" si="4"/>
        <v>13333333.333333334</v>
      </c>
      <c r="D21" s="53">
        <f t="shared" si="0"/>
        <v>10967767.028075444</v>
      </c>
      <c r="E21" s="53">
        <f t="shared" si="1"/>
        <v>33702043.528330594</v>
      </c>
      <c r="F21" s="53">
        <f t="shared" si="2"/>
        <v>11138963.866525287</v>
      </c>
      <c r="G21" s="62">
        <f t="shared" si="5"/>
        <v>0.3305130104992493</v>
      </c>
    </row>
    <row r="22" spans="1:7">
      <c r="A22" s="52">
        <f>Calculations!C22</f>
        <v>20</v>
      </c>
      <c r="B22" s="53">
        <f>Calculations!I22</f>
        <v>46691010.784237564</v>
      </c>
      <c r="C22" s="61">
        <f t="shared" si="4"/>
        <v>13333333.333333334</v>
      </c>
      <c r="D22" s="53">
        <f t="shared" si="0"/>
        <v>11675187.107816478</v>
      </c>
      <c r="E22" s="53">
        <f t="shared" si="1"/>
        <v>35015823.676421084</v>
      </c>
      <c r="F22" s="53">
        <f t="shared" si="2"/>
        <v>10918099.33811776</v>
      </c>
      <c r="G22" s="62">
        <f t="shared" si="5"/>
        <v>0.31180472688608429</v>
      </c>
    </row>
    <row r="23" spans="1:7">
      <c r="A23" s="52">
        <f>Calculations!C23</f>
        <v>21</v>
      </c>
      <c r="B23" s="53">
        <f>Calculations!I23</f>
        <v>47245738.715857968</v>
      </c>
      <c r="C23" s="61">
        <f t="shared" si="4"/>
        <v>13333333.333333334</v>
      </c>
      <c r="D23" s="53">
        <f t="shared" si="0"/>
        <v>11869341.88388362</v>
      </c>
      <c r="E23" s="53">
        <f t="shared" si="1"/>
        <v>35376396.83197435</v>
      </c>
      <c r="F23" s="53">
        <f t="shared" si="2"/>
        <v>10406158.256988205</v>
      </c>
      <c r="G23" s="62">
        <f t="shared" si="5"/>
        <v>0.29415540272272095</v>
      </c>
    </row>
    <row r="24" spans="1:7">
      <c r="A24" s="52">
        <f>Calculations!C24</f>
        <v>22</v>
      </c>
      <c r="B24" s="53">
        <f>Calculations!I24</f>
        <v>52542883.195057295</v>
      </c>
      <c r="C24" s="61">
        <f t="shared" si="4"/>
        <v>13333333.333333334</v>
      </c>
      <c r="D24" s="53">
        <f t="shared" si="0"/>
        <v>13723342.451603385</v>
      </c>
      <c r="E24" s="53">
        <f t="shared" si="1"/>
        <v>38819540.743453912</v>
      </c>
      <c r="F24" s="53">
        <f t="shared" si="2"/>
        <v>10772620.415945055</v>
      </c>
      <c r="G24" s="62">
        <f t="shared" si="5"/>
        <v>0.27750509690822728</v>
      </c>
    </row>
    <row r="25" spans="1:7">
      <c r="A25" s="52">
        <f>Calculations!C25</f>
        <v>23</v>
      </c>
      <c r="B25" s="53">
        <f>Calculations!I25</f>
        <v>54577454.895278901</v>
      </c>
      <c r="C25" s="61">
        <f t="shared" si="4"/>
        <v>13333333.333333334</v>
      </c>
      <c r="D25" s="53">
        <f t="shared" si="0"/>
        <v>14435442.546680948</v>
      </c>
      <c r="E25" s="53">
        <f t="shared" si="1"/>
        <v>40142012.348597951</v>
      </c>
      <c r="F25" s="53">
        <f t="shared" si="2"/>
        <v>10509068.893291444</v>
      </c>
      <c r="G25" s="62">
        <f t="shared" si="5"/>
        <v>0.26179726123417668</v>
      </c>
    </row>
    <row r="26" spans="1:7">
      <c r="A26" s="52">
        <f>Calculations!C26</f>
        <v>24</v>
      </c>
      <c r="B26" s="53">
        <f>Calculations!I26</f>
        <v>56817971.856840231</v>
      </c>
      <c r="C26" s="61">
        <f t="shared" si="4"/>
        <v>13333333.333333334</v>
      </c>
      <c r="D26" s="53">
        <f t="shared" si="0"/>
        <v>15219623.483227411</v>
      </c>
      <c r="E26" s="53">
        <f t="shared" si="1"/>
        <v>41598348.373612821</v>
      </c>
      <c r="F26" s="53">
        <f t="shared" si="2"/>
        <v>10273899.694412269</v>
      </c>
      <c r="G26" s="62">
        <f t="shared" si="5"/>
        <v>0.24697854833412897</v>
      </c>
    </row>
    <row r="27" spans="1:7">
      <c r="A27" s="52">
        <f>Calculations!C27</f>
        <v>25</v>
      </c>
      <c r="B27" s="53">
        <f>Calculations!I27</f>
        <v>59334456.868794516</v>
      </c>
      <c r="C27" s="61">
        <f t="shared" si="4"/>
        <v>13333333.333333334</v>
      </c>
      <c r="D27" s="53">
        <f t="shared" si="0"/>
        <v>16100393.237411411</v>
      </c>
      <c r="E27" s="53">
        <f t="shared" si="1"/>
        <v>43234063.631383106</v>
      </c>
      <c r="F27" s="53">
        <f t="shared" si="2"/>
        <v>10073477.617230527</v>
      </c>
      <c r="G27" s="62">
        <f t="shared" si="5"/>
        <v>0.23299863050389524</v>
      </c>
    </row>
    <row r="28" spans="1:7">
      <c r="A28" s="52">
        <f>Calculations!C28</f>
        <v>26</v>
      </c>
      <c r="B28" s="53">
        <f>Calculations!I28</f>
        <v>62352019.97296685</v>
      </c>
      <c r="C28" s="61">
        <f t="shared" si="4"/>
        <v>13333333.333333334</v>
      </c>
      <c r="D28" s="53">
        <f t="shared" si="0"/>
        <v>17156540.323871728</v>
      </c>
      <c r="E28" s="53">
        <f t="shared" si="1"/>
        <v>45195479.649095118</v>
      </c>
      <c r="F28" s="53">
        <f t="shared" si="2"/>
        <v>9934419.6822696514</v>
      </c>
      <c r="G28" s="62">
        <f t="shared" si="5"/>
        <v>0.21981002877725966</v>
      </c>
    </row>
    <row r="29" spans="1:7">
      <c r="A29" s="52">
        <f>Calculations!C29</f>
        <v>27</v>
      </c>
      <c r="B29" s="53">
        <f>Calculations!I29</f>
        <v>65001074.58969716</v>
      </c>
      <c r="C29" s="61">
        <f t="shared" si="4"/>
        <v>13333333.333333334</v>
      </c>
      <c r="D29" s="53">
        <f t="shared" si="0"/>
        <v>18083709.439727336</v>
      </c>
      <c r="E29" s="53">
        <f t="shared" si="1"/>
        <v>46917365.149969824</v>
      </c>
      <c r="F29" s="53">
        <f t="shared" si="2"/>
        <v>9729157.909215156</v>
      </c>
      <c r="G29" s="62">
        <f t="shared" si="5"/>
        <v>0.20736795167666003</v>
      </c>
    </row>
    <row r="30" spans="1:7">
      <c r="A30" s="52">
        <f>Calculations!C30</f>
        <v>28</v>
      </c>
      <c r="B30" s="53">
        <f>Calculations!I30</f>
        <v>67818325.493827045</v>
      </c>
      <c r="C30" s="61">
        <f t="shared" si="4"/>
        <v>13333333.333333334</v>
      </c>
      <c r="D30" s="53">
        <f t="shared" si="0"/>
        <v>19069747.256172799</v>
      </c>
      <c r="E30" s="53">
        <f t="shared" si="1"/>
        <v>48748578.237654246</v>
      </c>
      <c r="F30" s="53">
        <f t="shared" si="2"/>
        <v>9536691.3361243084</v>
      </c>
      <c r="G30" s="62">
        <f t="shared" si="5"/>
        <v>0.1956301430911887</v>
      </c>
    </row>
    <row r="31" spans="1:7">
      <c r="A31" s="52">
        <f>Calculations!C31</f>
        <v>29</v>
      </c>
      <c r="B31" s="53">
        <f>Calculations!I31</f>
        <v>70813531.837132901</v>
      </c>
      <c r="C31" s="61">
        <f t="shared" si="4"/>
        <v>13333333.333333334</v>
      </c>
      <c r="D31" s="53">
        <f t="shared" si="0"/>
        <v>20118069.476329848</v>
      </c>
      <c r="E31" s="53">
        <f t="shared" si="1"/>
        <v>50695462.360803053</v>
      </c>
      <c r="F31" s="53">
        <f t="shared" si="2"/>
        <v>9356189.2035074253</v>
      </c>
      <c r="G31" s="62">
        <f t="shared" si="5"/>
        <v>0.18455673876527234</v>
      </c>
    </row>
    <row r="32" spans="1:7">
      <c r="A32" s="52">
        <f>Calculations!C32</f>
        <v>30</v>
      </c>
      <c r="B32" s="53">
        <f>Calculations!I32</f>
        <v>73945615.509267509</v>
      </c>
      <c r="C32" s="61">
        <f t="shared" si="4"/>
        <v>13333333.333333334</v>
      </c>
      <c r="D32" s="53">
        <f t="shared" si="0"/>
        <v>21214298.761576958</v>
      </c>
      <c r="E32" s="53">
        <f t="shared" si="1"/>
        <v>52731316.747690551</v>
      </c>
      <c r="F32" s="53">
        <f t="shared" si="2"/>
        <v>9181056.4620305225</v>
      </c>
      <c r="G32" s="62">
        <f t="shared" si="5"/>
        <v>0.17411013091063426</v>
      </c>
    </row>
    <row r="33" spans="1:7">
      <c r="A33" s="52">
        <f>Calculations!C33</f>
        <v>31</v>
      </c>
      <c r="B33" s="53">
        <f>Calculations!I33</f>
        <v>71637760.402583495</v>
      </c>
      <c r="C33" s="61">
        <f t="shared" si="4"/>
        <v>0</v>
      </c>
      <c r="D33" s="53">
        <f t="shared" si="0"/>
        <v>25073216.140904222</v>
      </c>
      <c r="E33" s="53">
        <f t="shared" si="1"/>
        <v>46564544.261679277</v>
      </c>
      <c r="F33" s="53">
        <f t="shared" si="2"/>
        <v>7648451.7898066053</v>
      </c>
      <c r="G33" s="62">
        <f t="shared" si="5"/>
        <v>0.16425484048173042</v>
      </c>
    </row>
    <row r="34" spans="1:7">
      <c r="A34" s="52">
        <f>Calculations!C34</f>
        <v>32</v>
      </c>
      <c r="B34" s="53">
        <f>Calculations!I34</f>
        <v>79100872.974502861</v>
      </c>
      <c r="C34" s="61">
        <f t="shared" si="4"/>
        <v>0</v>
      </c>
      <c r="D34" s="53">
        <f t="shared" si="0"/>
        <v>27685305.541076001</v>
      </c>
      <c r="E34" s="53">
        <f t="shared" si="1"/>
        <v>51415567.433426857</v>
      </c>
      <c r="F34" s="53">
        <f t="shared" si="2"/>
        <v>7967222.4783539455</v>
      </c>
      <c r="G34" s="62">
        <f t="shared" si="5"/>
        <v>0.15495739668087777</v>
      </c>
    </row>
    <row r="35" spans="1:7">
      <c r="A35" s="52">
        <f>Calculations!C35</f>
        <v>33</v>
      </c>
      <c r="B35" s="53">
        <f>Calculations!I35</f>
        <v>82193696.307050958</v>
      </c>
      <c r="C35" s="61">
        <f t="shared" si="4"/>
        <v>0</v>
      </c>
      <c r="D35" s="53">
        <f t="shared" si="0"/>
        <v>28767793.707467835</v>
      </c>
      <c r="E35" s="53">
        <f t="shared" si="1"/>
        <v>53425902.599583119</v>
      </c>
      <c r="F35" s="53">
        <f t="shared" si="2"/>
        <v>7810130.9265637174</v>
      </c>
      <c r="G35" s="62">
        <f t="shared" si="5"/>
        <v>0.14618622328384695</v>
      </c>
    </row>
    <row r="36" spans="1:7">
      <c r="A36" s="52">
        <f>Calculations!C36</f>
        <v>34</v>
      </c>
      <c r="B36" s="53">
        <f>Calculations!I36</f>
        <v>85578219.551165953</v>
      </c>
      <c r="C36" s="61">
        <f t="shared" si="4"/>
        <v>0</v>
      </c>
      <c r="D36" s="53">
        <f t="shared" si="0"/>
        <v>29952376.842908081</v>
      </c>
      <c r="E36" s="53">
        <f t="shared" si="1"/>
        <v>55625842.708257869</v>
      </c>
      <c r="F36" s="53">
        <f t="shared" si="2"/>
        <v>7671445.1533033336</v>
      </c>
      <c r="G36" s="62">
        <f t="shared" si="5"/>
        <v>0.1379115313998556</v>
      </c>
    </row>
    <row r="37" spans="1:7">
      <c r="A37" s="52">
        <f>Calculations!C37</f>
        <v>35</v>
      </c>
      <c r="B37" s="53">
        <f>Calculations!I37</f>
        <v>89349162.60332182</v>
      </c>
      <c r="C37" s="61">
        <f t="shared" si="4"/>
        <v>0</v>
      </c>
      <c r="D37" s="53">
        <f t="shared" si="0"/>
        <v>31272206.911162633</v>
      </c>
      <c r="E37" s="53">
        <f t="shared" si="1"/>
        <v>58076955.692159191</v>
      </c>
      <c r="F37" s="53">
        <f t="shared" si="2"/>
        <v>7556114.9986294666</v>
      </c>
      <c r="G37" s="62">
        <f t="shared" si="5"/>
        <v>0.13010521830175056</v>
      </c>
    </row>
    <row r="38" spans="1:7">
      <c r="A38" s="52">
        <f>Calculations!C38</f>
        <v>36</v>
      </c>
      <c r="B38" s="53">
        <f>Calculations!I38</f>
        <v>93809694.821953624</v>
      </c>
      <c r="C38" s="61">
        <f t="shared" si="4"/>
        <v>0</v>
      </c>
      <c r="D38" s="53">
        <f t="shared" si="0"/>
        <v>32833393.187683765</v>
      </c>
      <c r="E38" s="53">
        <f t="shared" si="1"/>
        <v>60976301.634269863</v>
      </c>
      <c r="F38" s="53">
        <f t="shared" si="2"/>
        <v>7484278.3352453485</v>
      </c>
      <c r="G38" s="62">
        <f t="shared" si="5"/>
        <v>0.12274077198278353</v>
      </c>
    </row>
    <row r="39" spans="1:7">
      <c r="A39" s="52">
        <f>Calculations!C39</f>
        <v>37</v>
      </c>
      <c r="B39" s="53">
        <f>Calculations!I39</f>
        <v>97791831.031979382</v>
      </c>
      <c r="C39" s="61">
        <f t="shared" si="4"/>
        <v>0</v>
      </c>
      <c r="D39" s="53">
        <f t="shared" si="0"/>
        <v>34227140.861192785</v>
      </c>
      <c r="E39" s="53">
        <f t="shared" si="1"/>
        <v>63564690.170786597</v>
      </c>
      <c r="F39" s="53">
        <f t="shared" si="2"/>
        <v>7360357.6815177351</v>
      </c>
      <c r="G39" s="62">
        <f t="shared" si="5"/>
        <v>0.11579318111583352</v>
      </c>
    </row>
    <row r="40" spans="1:7">
      <c r="A40" s="52">
        <f>Calculations!C40</f>
        <v>38</v>
      </c>
      <c r="B40" s="53">
        <f>Calculations!I40</f>
        <v>102017551.29553415</v>
      </c>
      <c r="C40" s="61">
        <f t="shared" si="4"/>
        <v>0</v>
      </c>
      <c r="D40" s="53">
        <f t="shared" si="0"/>
        <v>35706142.953436948</v>
      </c>
      <c r="E40" s="53">
        <f t="shared" si="1"/>
        <v>66311408.3420972</v>
      </c>
      <c r="F40" s="53">
        <f t="shared" si="2"/>
        <v>7243781.9964174097</v>
      </c>
      <c r="G40" s="62">
        <f t="shared" si="5"/>
        <v>0.10923885010927689</v>
      </c>
    </row>
    <row r="41" spans="1:7">
      <c r="A41" s="52">
        <f>Calculations!C41</f>
        <v>39</v>
      </c>
      <c r="B41" s="53">
        <f>Calculations!I41</f>
        <v>106500693.18108948</v>
      </c>
      <c r="C41" s="61">
        <f t="shared" si="4"/>
        <v>0</v>
      </c>
      <c r="D41" s="53">
        <f t="shared" si="0"/>
        <v>37275242.613381311</v>
      </c>
      <c r="E41" s="53">
        <f t="shared" si="1"/>
        <v>69225450.567708164</v>
      </c>
      <c r="F41" s="53">
        <f t="shared" si="2"/>
        <v>7134064.7342575733</v>
      </c>
      <c r="G41" s="62">
        <f t="shared" si="5"/>
        <v>0.10305551897101592</v>
      </c>
    </row>
    <row r="42" spans="1:7">
      <c r="A42" s="52">
        <f>Calculations!C42</f>
        <v>40</v>
      </c>
      <c r="B42" s="53">
        <f>Calculations!I42</f>
        <v>111186802.74139744</v>
      </c>
      <c r="C42" s="61">
        <f t="shared" si="4"/>
        <v>0</v>
      </c>
      <c r="D42" s="53">
        <f t="shared" si="0"/>
        <v>38915380.9594891</v>
      </c>
      <c r="E42" s="53">
        <f t="shared" si="1"/>
        <v>72271421.781908333</v>
      </c>
      <c r="F42" s="53">
        <f t="shared" si="2"/>
        <v>7026385.7344412711</v>
      </c>
      <c r="G42" s="62">
        <f t="shared" si="5"/>
        <v>9.7222187708505589E-2</v>
      </c>
    </row>
    <row r="43" spans="1:7">
      <c r="A43" s="52">
        <f>Calculations!C43</f>
        <v>41</v>
      </c>
      <c r="B43" s="53">
        <f>Calculations!I43</f>
        <v>110419396.33956617</v>
      </c>
      <c r="C43" s="61">
        <f t="shared" si="4"/>
        <v>0</v>
      </c>
      <c r="D43" s="53">
        <f t="shared" si="0"/>
        <v>38646788.718848154</v>
      </c>
      <c r="E43" s="53">
        <f t="shared" si="1"/>
        <v>71772607.620718017</v>
      </c>
      <c r="F43" s="53">
        <f t="shared" si="2"/>
        <v>6582915.0287078926</v>
      </c>
      <c r="G43" s="62">
        <f t="shared" si="5"/>
        <v>9.171904500802415E-2</v>
      </c>
    </row>
    <row r="44" spans="1:7">
      <c r="A44" s="52">
        <f>Calculations!C44</f>
        <v>42</v>
      </c>
      <c r="B44" s="53">
        <f>Calculations!I44</f>
        <v>121021582.71298406</v>
      </c>
      <c r="C44" s="61">
        <f t="shared" si="4"/>
        <v>0</v>
      </c>
      <c r="D44" s="53">
        <f t="shared" si="0"/>
        <v>42357553.949544415</v>
      </c>
      <c r="E44" s="53">
        <f t="shared" si="1"/>
        <v>78664028.76343964</v>
      </c>
      <c r="F44" s="53">
        <f t="shared" si="2"/>
        <v>6806593.9572324771</v>
      </c>
      <c r="G44" s="62">
        <f t="shared" si="5"/>
        <v>8.6527400950966171E-2</v>
      </c>
    </row>
    <row r="45" spans="1:7">
      <c r="A45" s="52">
        <f>Calculations!C45</f>
        <v>43</v>
      </c>
      <c r="B45" s="53">
        <f>Calculations!I45</f>
        <v>125773579.66436316</v>
      </c>
      <c r="C45" s="61">
        <f t="shared" si="4"/>
        <v>0</v>
      </c>
      <c r="D45" s="53">
        <f t="shared" si="0"/>
        <v>44020752.882527106</v>
      </c>
      <c r="E45" s="53">
        <f t="shared" si="1"/>
        <v>81752826.781836063</v>
      </c>
      <c r="F45" s="53">
        <f t="shared" si="2"/>
        <v>6673452.4734215224</v>
      </c>
      <c r="G45" s="62">
        <f t="shared" si="5"/>
        <v>8.162962353864732E-2</v>
      </c>
    </row>
    <row r="46" spans="1:7">
      <c r="A46" s="52">
        <f>Calculations!C46</f>
        <v>44</v>
      </c>
      <c r="B46" s="53">
        <f>Calculations!I46</f>
        <v>130941642.53539294</v>
      </c>
      <c r="C46" s="61">
        <f t="shared" si="4"/>
        <v>0</v>
      </c>
      <c r="D46" s="53">
        <f t="shared" si="0"/>
        <v>45829574.887387529</v>
      </c>
      <c r="E46" s="53">
        <f t="shared" si="1"/>
        <v>85112067.648005411</v>
      </c>
      <c r="F46" s="53">
        <f t="shared" si="2"/>
        <v>6554401.9251910988</v>
      </c>
      <c r="G46" s="62">
        <f t="shared" si="5"/>
        <v>7.7009078810044637E-2</v>
      </c>
    </row>
    <row r="47" spans="1:7">
      <c r="A47" s="52">
        <f>Calculations!C47</f>
        <v>45</v>
      </c>
      <c r="B47" s="53">
        <f>Calculations!I47</f>
        <v>136654036.21608999</v>
      </c>
      <c r="C47" s="61">
        <f t="shared" si="4"/>
        <v>0</v>
      </c>
      <c r="D47" s="53">
        <f t="shared" si="0"/>
        <v>47828912.675631493</v>
      </c>
      <c r="E47" s="53">
        <f t="shared" si="1"/>
        <v>88825123.5404585</v>
      </c>
      <c r="F47" s="53">
        <f t="shared" si="2"/>
        <v>6453151.8292821888</v>
      </c>
      <c r="G47" s="62">
        <f t="shared" si="5"/>
        <v>7.2650074349098717E-2</v>
      </c>
    </row>
    <row r="48" spans="1:7">
      <c r="A48" s="52">
        <f>Calculations!C48</f>
        <v>46</v>
      </c>
      <c r="B48" s="53">
        <f>Calculations!I48</f>
        <v>143319203.25912106</v>
      </c>
      <c r="C48" s="61">
        <f t="shared" si="4"/>
        <v>0</v>
      </c>
      <c r="D48" s="53">
        <f t="shared" si="0"/>
        <v>50161721.140692368</v>
      </c>
      <c r="E48" s="53">
        <f t="shared" si="1"/>
        <v>93157482.118428692</v>
      </c>
      <c r="F48" s="53">
        <f t="shared" si="2"/>
        <v>6384809.4359232811</v>
      </c>
      <c r="G48" s="62">
        <f t="shared" si="5"/>
        <v>6.8537805989715761E-2</v>
      </c>
    </row>
    <row r="49" spans="1:7">
      <c r="A49" s="52">
        <f>Calculations!C49</f>
        <v>47</v>
      </c>
      <c r="B49" s="53">
        <f>Calculations!I49</f>
        <v>149368518.12823349</v>
      </c>
      <c r="C49" s="61">
        <f t="shared" si="4"/>
        <v>0</v>
      </c>
      <c r="D49" s="53">
        <f t="shared" si="0"/>
        <v>52278981.344881721</v>
      </c>
      <c r="E49" s="53">
        <f t="shared" si="1"/>
        <v>97089536.783351779</v>
      </c>
      <c r="F49" s="53">
        <f t="shared" si="2"/>
        <v>6277645.1280082399</v>
      </c>
      <c r="G49" s="62">
        <f t="shared" si="5"/>
        <v>6.465830753746768E-2</v>
      </c>
    </row>
    <row r="50" spans="1:7">
      <c r="A50" s="52">
        <f>Calculations!C50</f>
        <v>48</v>
      </c>
      <c r="B50" s="53">
        <f>Calculations!I50</f>
        <v>155773352.74286565</v>
      </c>
      <c r="C50" s="61">
        <f t="shared" si="4"/>
        <v>0</v>
      </c>
      <c r="D50" s="53">
        <f t="shared" si="0"/>
        <v>54520673.460002974</v>
      </c>
      <c r="E50" s="53">
        <f t="shared" si="1"/>
        <v>101252679.28286268</v>
      </c>
      <c r="F50" s="53">
        <f t="shared" si="2"/>
        <v>6176251.7698716223</v>
      </c>
      <c r="G50" s="62">
        <f t="shared" si="5"/>
        <v>6.0998403337233678E-2</v>
      </c>
    </row>
    <row r="51" spans="1:7">
      <c r="A51" s="52">
        <f>Calculations!C51</f>
        <v>49</v>
      </c>
      <c r="B51" s="53">
        <f>Calculations!I51</f>
        <v>162553438.64064693</v>
      </c>
      <c r="C51" s="61">
        <f t="shared" si="4"/>
        <v>0</v>
      </c>
      <c r="D51" s="53">
        <f t="shared" si="0"/>
        <v>56893703.524226427</v>
      </c>
      <c r="E51" s="53">
        <f t="shared" si="1"/>
        <v>105659735.11642051</v>
      </c>
      <c r="F51" s="53">
        <f t="shared" si="2"/>
        <v>6080259.5652232924</v>
      </c>
      <c r="G51" s="62">
        <f t="shared" si="5"/>
        <v>5.7545663525692139E-2</v>
      </c>
    </row>
    <row r="52" spans="1:7">
      <c r="A52" s="52">
        <f>Calculations!C52</f>
        <v>50</v>
      </c>
      <c r="B52" s="53">
        <f>Calculations!I52</f>
        <v>169636774.95250577</v>
      </c>
      <c r="C52" s="61">
        <f t="shared" si="4"/>
        <v>0</v>
      </c>
      <c r="D52" s="53">
        <f t="shared" si="0"/>
        <v>59372871.233377017</v>
      </c>
      <c r="E52" s="53">
        <f t="shared" si="1"/>
        <v>110263903.71912876</v>
      </c>
      <c r="F52" s="53">
        <f t="shared" si="2"/>
        <v>5986046.7004248099</v>
      </c>
      <c r="G52" s="62">
        <f t="shared" si="5"/>
        <v>5.4288361816690701E-2</v>
      </c>
    </row>
    <row r="53" spans="1:7">
      <c r="F53" s="63">
        <f>SUM(F3:F52)</f>
        <v>497429969.41747183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53"/>
  <sheetViews>
    <sheetView zoomScale="125" zoomScaleNormal="125" zoomScalePageLayoutView="125" workbookViewId="0">
      <pane xSplit="2" ySplit="2" topLeftCell="C3" activePane="bottomRight" state="frozen"/>
      <selection pane="topRight" activeCell="C1" sqref="C1"/>
      <selection pane="bottomLeft" activeCell="A3" sqref="A3"/>
      <selection pane="bottomRight" activeCell="A2" sqref="A2"/>
    </sheetView>
  </sheetViews>
  <sheetFormatPr defaultColWidth="10.875" defaultRowHeight="11.25"/>
  <cols>
    <col min="1" max="1" width="51.125" style="25" customWidth="1"/>
    <col min="2" max="2" width="4" style="29" bestFit="1" customWidth="1"/>
    <col min="3" max="3" width="15.375" style="25" bestFit="1" customWidth="1"/>
    <col min="4" max="4" width="16" style="25" bestFit="1" customWidth="1"/>
    <col min="5" max="5" width="14.75" style="30" bestFit="1" customWidth="1"/>
    <col min="6" max="6" width="19.875" style="25" bestFit="1" customWidth="1"/>
    <col min="7" max="16384" width="10.875" style="25"/>
  </cols>
  <sheetData>
    <row r="1" spans="1:6" ht="52.5" customHeight="1">
      <c r="A1" s="124" t="s">
        <v>23</v>
      </c>
      <c r="B1" s="125"/>
      <c r="C1" s="125"/>
      <c r="D1" s="125"/>
      <c r="E1" s="125"/>
      <c r="F1" s="125"/>
    </row>
    <row r="2" spans="1:6" s="26" customFormat="1" ht="31.5">
      <c r="B2" s="26" t="s">
        <v>0</v>
      </c>
      <c r="C2" s="26" t="s">
        <v>16</v>
      </c>
      <c r="D2" s="26" t="s">
        <v>17</v>
      </c>
      <c r="E2" s="27" t="s">
        <v>18</v>
      </c>
      <c r="F2" s="28"/>
    </row>
    <row r="3" spans="1:6">
      <c r="B3" s="29">
        <v>1</v>
      </c>
      <c r="C3" s="30">
        <v>2900000</v>
      </c>
      <c r="D3" s="30">
        <f>13307500/5</f>
        <v>2661500</v>
      </c>
      <c r="E3" s="30">
        <v>7677850.6799999997</v>
      </c>
      <c r="F3" s="30"/>
    </row>
    <row r="4" spans="1:6">
      <c r="B4" s="29">
        <f>B3+1</f>
        <v>2</v>
      </c>
      <c r="C4" s="30">
        <v>2914036.7860600194</v>
      </c>
      <c r="D4" s="30">
        <f t="shared" ref="D4:D7" si="0">13307500/5</f>
        <v>2661500</v>
      </c>
      <c r="E4" s="30">
        <v>4416639.1553999996</v>
      </c>
      <c r="F4" s="30"/>
    </row>
    <row r="5" spans="1:6">
      <c r="B5" s="29">
        <f t="shared" ref="B5:B52" si="1">B4+1</f>
        <v>3</v>
      </c>
      <c r="C5" s="30">
        <v>2928141.5139693138</v>
      </c>
      <c r="D5" s="30">
        <f t="shared" si="0"/>
        <v>2661500</v>
      </c>
      <c r="E5" s="30">
        <v>4696410.6114870002</v>
      </c>
      <c r="F5" s="30"/>
    </row>
    <row r="6" spans="1:6">
      <c r="B6" s="29">
        <f t="shared" si="1"/>
        <v>4</v>
      </c>
      <c r="C6" s="30">
        <v>2942314.5125848479</v>
      </c>
      <c r="D6" s="30">
        <f t="shared" si="0"/>
        <v>2661500</v>
      </c>
      <c r="E6" s="30">
        <v>4920590.5817716094</v>
      </c>
      <c r="F6" s="30"/>
    </row>
    <row r="7" spans="1:6">
      <c r="B7" s="29">
        <f t="shared" si="1"/>
        <v>5</v>
      </c>
      <c r="C7" s="30">
        <v>2956556.1123553459</v>
      </c>
      <c r="D7" s="30">
        <f t="shared" si="0"/>
        <v>2661500</v>
      </c>
      <c r="E7" s="30">
        <v>5052818.9358884254</v>
      </c>
      <c r="F7" s="30"/>
    </row>
    <row r="8" spans="1:6">
      <c r="B8" s="29">
        <f t="shared" si="1"/>
        <v>6</v>
      </c>
      <c r="C8" s="30">
        <v>2970866.6453289925</v>
      </c>
      <c r="D8" s="30">
        <f>13483500/5</f>
        <v>2696700</v>
      </c>
      <c r="E8" s="30">
        <v>5012820.2010915931</v>
      </c>
      <c r="F8" s="30"/>
    </row>
    <row r="9" spans="1:6">
      <c r="B9" s="29">
        <f t="shared" si="1"/>
        <v>7</v>
      </c>
      <c r="C9" s="30">
        <v>2985246.4451611754</v>
      </c>
      <c r="D9" s="30">
        <f t="shared" ref="D9:D12" si="2">13483500/5</f>
        <v>2696700</v>
      </c>
      <c r="E9" s="30">
        <v>5202222.5555049451</v>
      </c>
      <c r="F9" s="30"/>
    </row>
    <row r="10" spans="1:6">
      <c r="B10" s="29">
        <f t="shared" si="1"/>
        <v>8</v>
      </c>
      <c r="C10" s="30">
        <v>2999695.847122266</v>
      </c>
      <c r="D10" s="30">
        <f t="shared" si="2"/>
        <v>2696700</v>
      </c>
      <c r="E10" s="30">
        <v>5367219.9612438763</v>
      </c>
      <c r="F10" s="30"/>
    </row>
    <row r="11" spans="1:6">
      <c r="B11" s="29">
        <f t="shared" si="1"/>
        <v>9</v>
      </c>
      <c r="C11" s="30">
        <v>3014215.1881054328</v>
      </c>
      <c r="D11" s="30">
        <f t="shared" si="2"/>
        <v>2696700</v>
      </c>
      <c r="E11" s="30">
        <v>5505239.932716202</v>
      </c>
      <c r="F11" s="30"/>
    </row>
    <row r="12" spans="1:6">
      <c r="B12" s="29">
        <f t="shared" si="1"/>
        <v>10</v>
      </c>
      <c r="C12" s="30">
        <v>3028804.8066345011</v>
      </c>
      <c r="D12" s="30">
        <f t="shared" si="2"/>
        <v>2696700</v>
      </c>
      <c r="E12" s="30">
        <v>5641973.2992745601</v>
      </c>
      <c r="F12" s="30"/>
    </row>
    <row r="13" spans="1:6">
      <c r="B13" s="29">
        <f t="shared" si="1"/>
        <v>11</v>
      </c>
      <c r="C13" s="30">
        <v>3043465.0428718417</v>
      </c>
      <c r="D13" s="30">
        <f>32217000/10</f>
        <v>3221700</v>
      </c>
      <c r="E13" s="30">
        <v>8837862.6250595376</v>
      </c>
      <c r="F13" s="30"/>
    </row>
    <row r="14" spans="1:6">
      <c r="B14" s="29">
        <f t="shared" si="1"/>
        <v>12</v>
      </c>
      <c r="C14" s="30">
        <v>3058196.2386263036</v>
      </c>
      <c r="D14" s="30">
        <f t="shared" ref="D14:D22" si="3">32217000/10</f>
        <v>3221700</v>
      </c>
      <c r="E14" s="30">
        <v>6734025.5022720546</v>
      </c>
      <c r="F14" s="30"/>
    </row>
    <row r="15" spans="1:6">
      <c r="B15" s="29">
        <f t="shared" si="1"/>
        <v>13</v>
      </c>
      <c r="C15" s="30">
        <v>3072998.7373611848</v>
      </c>
      <c r="D15" s="30">
        <f t="shared" si="3"/>
        <v>3221700</v>
      </c>
      <c r="E15" s="30">
        <v>7133967.8985706503</v>
      </c>
      <c r="F15" s="30"/>
    </row>
    <row r="16" spans="1:6">
      <c r="B16" s="29">
        <f t="shared" si="1"/>
        <v>14</v>
      </c>
      <c r="C16" s="30">
        <v>3087872.8842022363</v>
      </c>
      <c r="D16" s="30">
        <f t="shared" si="3"/>
        <v>3221700</v>
      </c>
      <c r="E16" s="30">
        <v>7459918.5751670487</v>
      </c>
      <c r="F16" s="30"/>
    </row>
    <row r="17" spans="2:6">
      <c r="B17" s="29">
        <f t="shared" si="1"/>
        <v>15</v>
      </c>
      <c r="C17" s="30">
        <v>3102819.0259457128</v>
      </c>
      <c r="D17" s="30">
        <f t="shared" si="3"/>
        <v>3221700</v>
      </c>
      <c r="E17" s="30">
        <v>7663034.114966685</v>
      </c>
      <c r="F17" s="30"/>
    </row>
    <row r="18" spans="2:6">
      <c r="B18" s="29">
        <f t="shared" si="1"/>
        <v>16</v>
      </c>
      <c r="C18" s="30">
        <v>3117837.5110664577</v>
      </c>
      <c r="D18" s="30">
        <f t="shared" si="3"/>
        <v>3221700</v>
      </c>
      <c r="E18" s="30">
        <v>7579205.0295718722</v>
      </c>
      <c r="F18" s="30"/>
    </row>
    <row r="19" spans="2:6">
      <c r="B19" s="29">
        <f t="shared" si="1"/>
        <v>17</v>
      </c>
      <c r="C19" s="30">
        <v>3132928.6897260239</v>
      </c>
      <c r="D19" s="30">
        <f t="shared" si="3"/>
        <v>3221700</v>
      </c>
      <c r="E19" s="30">
        <v>7859017.7715928499</v>
      </c>
      <c r="F19" s="30"/>
    </row>
    <row r="20" spans="2:6">
      <c r="B20" s="29">
        <f t="shared" si="1"/>
        <v>18</v>
      </c>
      <c r="C20" s="30">
        <v>3148092.9137808457</v>
      </c>
      <c r="D20" s="30">
        <f t="shared" si="3"/>
        <v>3221700</v>
      </c>
      <c r="E20" s="30">
        <v>8106790.4578223759</v>
      </c>
      <c r="F20" s="30"/>
    </row>
    <row r="21" spans="2:6">
      <c r="B21" s="29">
        <f t="shared" si="1"/>
        <v>19</v>
      </c>
      <c r="C21" s="30">
        <v>3163330.5367904333</v>
      </c>
      <c r="D21" s="30">
        <f t="shared" si="3"/>
        <v>3221700</v>
      </c>
      <c r="E21" s="30">
        <v>8319088.6273715636</v>
      </c>
      <c r="F21" s="30"/>
    </row>
    <row r="22" spans="2:6">
      <c r="B22" s="29">
        <f t="shared" si="1"/>
        <v>20</v>
      </c>
      <c r="C22" s="30">
        <v>3178641.9140256247</v>
      </c>
      <c r="D22" s="30">
        <f t="shared" si="3"/>
        <v>3221700</v>
      </c>
      <c r="E22" s="30">
        <v>8530462.033579452</v>
      </c>
      <c r="F22" s="30"/>
    </row>
    <row r="23" spans="2:6">
      <c r="B23" s="29">
        <f t="shared" si="1"/>
        <v>21</v>
      </c>
      <c r="C23" s="30">
        <v>3194027.4024768625</v>
      </c>
      <c r="D23" s="30">
        <f>23744000/10</f>
        <v>2374400</v>
      </c>
      <c r="E23" s="30">
        <v>10301340.264360754</v>
      </c>
      <c r="F23" s="30"/>
    </row>
    <row r="24" spans="2:6">
      <c r="B24" s="29">
        <f t="shared" si="1"/>
        <v>22</v>
      </c>
      <c r="C24" s="30">
        <v>3209487.3608625205</v>
      </c>
      <c r="D24" s="30">
        <f t="shared" ref="D24:D32" si="4">23744000/10</f>
        <v>2374400</v>
      </c>
      <c r="E24" s="30">
        <v>7426678.8532989472</v>
      </c>
      <c r="F24" s="30"/>
    </row>
    <row r="25" spans="2:6">
      <c r="B25" s="29">
        <f t="shared" si="1"/>
        <v>23</v>
      </c>
      <c r="C25" s="30">
        <v>3225022.149637267</v>
      </c>
      <c r="D25" s="30">
        <f t="shared" si="4"/>
        <v>2374400</v>
      </c>
      <c r="E25" s="30">
        <v>7915469.3409350049</v>
      </c>
      <c r="F25" s="30"/>
    </row>
    <row r="26" spans="2:6">
      <c r="B26" s="29">
        <f t="shared" si="1"/>
        <v>24</v>
      </c>
      <c r="C26" s="30">
        <v>3240632.1310004676</v>
      </c>
      <c r="D26" s="30">
        <f t="shared" si="4"/>
        <v>2374400</v>
      </c>
      <c r="E26" s="30">
        <v>8303360.1850411231</v>
      </c>
      <c r="F26" s="30"/>
    </row>
    <row r="27" spans="2:6">
      <c r="B27" s="29">
        <f t="shared" si="1"/>
        <v>25</v>
      </c>
      <c r="C27" s="30">
        <v>3256317.6689046333</v>
      </c>
      <c r="D27" s="30">
        <f t="shared" si="4"/>
        <v>2374400</v>
      </c>
      <c r="E27" s="30">
        <v>8524666.0885761976</v>
      </c>
      <c r="F27" s="30"/>
    </row>
    <row r="28" spans="2:6">
      <c r="B28" s="29">
        <f t="shared" si="1"/>
        <v>26</v>
      </c>
      <c r="C28" s="30">
        <v>3272079.1290639015</v>
      </c>
      <c r="D28" s="30">
        <f t="shared" si="4"/>
        <v>2374400</v>
      </c>
      <c r="E28" s="30">
        <v>8358792.4784286637</v>
      </c>
      <c r="F28" s="30"/>
    </row>
    <row r="29" spans="2:6">
      <c r="B29" s="29">
        <f t="shared" si="1"/>
        <v>27</v>
      </c>
      <c r="C29" s="30">
        <v>3287916.8789625652</v>
      </c>
      <c r="D29" s="30">
        <f t="shared" si="4"/>
        <v>2374400</v>
      </c>
      <c r="E29" s="30">
        <v>8680026.6464832351</v>
      </c>
      <c r="F29" s="30"/>
    </row>
    <row r="30" spans="2:6">
      <c r="B30" s="29">
        <f t="shared" si="1"/>
        <v>28</v>
      </c>
      <c r="C30" s="30">
        <v>3303831.2878636429</v>
      </c>
      <c r="D30" s="30">
        <f t="shared" si="4"/>
        <v>2374400</v>
      </c>
      <c r="E30" s="30">
        <v>8956557.3359916806</v>
      </c>
      <c r="F30" s="30"/>
    </row>
    <row r="31" spans="2:6">
      <c r="B31" s="29">
        <f t="shared" si="1"/>
        <v>29</v>
      </c>
      <c r="C31" s="30">
        <v>3319822.7268174845</v>
      </c>
      <c r="D31" s="30">
        <f t="shared" si="4"/>
        <v>2374400</v>
      </c>
      <c r="E31" s="30">
        <v>9183719.5890280139</v>
      </c>
      <c r="F31" s="30"/>
    </row>
    <row r="32" spans="2:6">
      <c r="B32" s="29">
        <f t="shared" si="1"/>
        <v>30</v>
      </c>
      <c r="C32" s="30">
        <v>3335891.5686704256</v>
      </c>
      <c r="D32" s="30">
        <f t="shared" si="4"/>
        <v>2374400</v>
      </c>
      <c r="E32" s="30">
        <v>9407894.5754331928</v>
      </c>
      <c r="F32" s="30"/>
    </row>
    <row r="33" spans="2:6">
      <c r="B33" s="29">
        <f t="shared" si="1"/>
        <v>31</v>
      </c>
      <c r="C33" s="30">
        <v>3352038.1880734768</v>
      </c>
      <c r="D33" s="30">
        <f>58427000/20</f>
        <v>2921350</v>
      </c>
      <c r="E33" s="30">
        <v>15211418.850847885</v>
      </c>
      <c r="F33" s="30"/>
    </row>
    <row r="34" spans="2:6">
      <c r="B34" s="29">
        <f t="shared" si="1"/>
        <v>32</v>
      </c>
      <c r="C34" s="30">
        <v>3368262.9614910642</v>
      </c>
      <c r="D34" s="30">
        <f t="shared" ref="D34:D52" si="5">58427000/20</f>
        <v>2921350</v>
      </c>
      <c r="E34" s="30">
        <v>11389132.663664727</v>
      </c>
      <c r="F34" s="30"/>
    </row>
    <row r="35" spans="2:6">
      <c r="B35" s="29">
        <f t="shared" si="1"/>
        <v>33</v>
      </c>
      <c r="C35" s="30">
        <v>3384566.2672098018</v>
      </c>
      <c r="D35" s="30">
        <f t="shared" si="5"/>
        <v>2921350</v>
      </c>
      <c r="E35" s="30">
        <v>12088275.125324052</v>
      </c>
      <c r="F35" s="30"/>
    </row>
    <row r="36" spans="2:6">
      <c r="B36" s="29">
        <f t="shared" si="1"/>
        <v>34</v>
      </c>
      <c r="C36" s="30">
        <v>3400948.4853473138</v>
      </c>
      <c r="D36" s="30">
        <f t="shared" si="5"/>
        <v>2921350</v>
      </c>
      <c r="E36" s="30">
        <v>12653084.370951241</v>
      </c>
      <c r="F36" s="30"/>
    </row>
    <row r="37" spans="2:6">
      <c r="B37" s="29">
        <f t="shared" si="1"/>
        <v>35</v>
      </c>
      <c r="C37" s="30">
        <v>3417409.9978610962</v>
      </c>
      <c r="D37" s="30">
        <f t="shared" si="5"/>
        <v>2921350</v>
      </c>
      <c r="E37" s="30">
        <v>12995322.877997998</v>
      </c>
      <c r="F37" s="30"/>
    </row>
    <row r="38" spans="2:6">
      <c r="B38" s="29">
        <f t="shared" si="1"/>
        <v>36</v>
      </c>
      <c r="C38" s="30">
        <v>3433951.1885574232</v>
      </c>
      <c r="D38" s="30">
        <f t="shared" si="5"/>
        <v>2921350</v>
      </c>
      <c r="E38" s="30">
        <v>12818569.151213415</v>
      </c>
      <c r="F38" s="30"/>
    </row>
    <row r="39" spans="2:6">
      <c r="B39" s="29">
        <f t="shared" si="1"/>
        <v>37</v>
      </c>
      <c r="C39" s="30">
        <v>3450572.443100296</v>
      </c>
      <c r="D39" s="30">
        <f t="shared" si="5"/>
        <v>2921350</v>
      </c>
      <c r="E39" s="30">
        <v>13297832.542104378</v>
      </c>
      <c r="F39" s="30"/>
    </row>
    <row r="40" spans="2:6">
      <c r="B40" s="29">
        <f t="shared" si="1"/>
        <v>38</v>
      </c>
      <c r="C40" s="30">
        <v>3467274.1490204334</v>
      </c>
      <c r="D40" s="30">
        <f t="shared" si="5"/>
        <v>2921350</v>
      </c>
      <c r="E40" s="30">
        <v>13718444.741888663</v>
      </c>
      <c r="F40" s="30"/>
    </row>
    <row r="41" spans="2:6">
      <c r="B41" s="29">
        <f t="shared" si="1"/>
        <v>39</v>
      </c>
      <c r="C41" s="30">
        <v>3484056.695724308</v>
      </c>
      <c r="D41" s="30">
        <f t="shared" si="5"/>
        <v>2921350</v>
      </c>
      <c r="E41" s="30">
        <v>14074179.23357835</v>
      </c>
      <c r="F41" s="30"/>
    </row>
    <row r="42" spans="2:6">
      <c r="B42" s="29">
        <f t="shared" si="1"/>
        <v>40</v>
      </c>
      <c r="C42" s="30">
        <v>3500920.4745032256</v>
      </c>
      <c r="D42" s="30">
        <f t="shared" si="5"/>
        <v>2921350</v>
      </c>
      <c r="E42" s="30">
        <v>14427412.511284918</v>
      </c>
      <c r="F42" s="30"/>
    </row>
    <row r="43" spans="2:6">
      <c r="B43" s="29">
        <f t="shared" si="1"/>
        <v>41</v>
      </c>
      <c r="C43" s="30">
        <v>3517865.8785424479</v>
      </c>
      <c r="D43" s="30">
        <f t="shared" si="5"/>
        <v>2921350</v>
      </c>
      <c r="E43" s="30">
        <v>20442874.94671841</v>
      </c>
      <c r="F43" s="30"/>
    </row>
    <row r="44" spans="2:6">
      <c r="B44" s="29">
        <f t="shared" si="1"/>
        <v>42</v>
      </c>
      <c r="C44" s="30">
        <v>3534893.3029303597</v>
      </c>
      <c r="D44" s="30">
        <f t="shared" si="5"/>
        <v>2921350</v>
      </c>
      <c r="E44" s="30">
        <v>15306041.933222173</v>
      </c>
      <c r="F44" s="30"/>
    </row>
    <row r="45" spans="2:6">
      <c r="B45" s="29">
        <f t="shared" si="1"/>
        <v>43</v>
      </c>
      <c r="C45" s="30">
        <v>3552003.1446676804</v>
      </c>
      <c r="D45" s="30">
        <f t="shared" si="5"/>
        <v>2921350</v>
      </c>
      <c r="E45" s="30">
        <v>16245630.938941112</v>
      </c>
      <c r="F45" s="30"/>
    </row>
    <row r="46" spans="2:6">
      <c r="B46" s="29">
        <f t="shared" si="1"/>
        <v>44</v>
      </c>
      <c r="C46" s="30">
        <v>3569195.802676721</v>
      </c>
      <c r="D46" s="30">
        <f t="shared" si="5"/>
        <v>2921350</v>
      </c>
      <c r="E46" s="30">
        <v>17004687.335344486</v>
      </c>
      <c r="F46" s="30"/>
    </row>
    <row r="47" spans="2:6">
      <c r="B47" s="29">
        <f t="shared" si="1"/>
        <v>45</v>
      </c>
      <c r="C47" s="30">
        <v>3586471.6778106838</v>
      </c>
      <c r="D47" s="30">
        <f t="shared" si="5"/>
        <v>2921350</v>
      </c>
      <c r="E47" s="30">
        <v>17464627.270606901</v>
      </c>
      <c r="F47" s="30"/>
    </row>
    <row r="48" spans="2:6">
      <c r="B48" s="29">
        <f t="shared" si="1"/>
        <v>46</v>
      </c>
      <c r="C48" s="30">
        <v>3603831.1728630108</v>
      </c>
      <c r="D48" s="30">
        <f t="shared" si="5"/>
        <v>2921350</v>
      </c>
      <c r="E48" s="30">
        <v>17227085.042070985</v>
      </c>
      <c r="F48" s="30"/>
    </row>
    <row r="49" spans="2:6">
      <c r="B49" s="29">
        <f t="shared" si="1"/>
        <v>47</v>
      </c>
      <c r="C49" s="30">
        <v>3621274.6925767725</v>
      </c>
      <c r="D49" s="30">
        <f t="shared" si="5"/>
        <v>2921350</v>
      </c>
      <c r="E49" s="30">
        <v>17871174.963109359</v>
      </c>
      <c r="F49" s="30"/>
    </row>
    <row r="50" spans="2:6">
      <c r="B50" s="29">
        <f t="shared" si="1"/>
        <v>48</v>
      </c>
      <c r="C50" s="30">
        <v>3638802.6436541048</v>
      </c>
      <c r="D50" s="30">
        <f t="shared" si="5"/>
        <v>2921350</v>
      </c>
      <c r="E50" s="30">
        <v>18436442.587751422</v>
      </c>
      <c r="F50" s="30"/>
    </row>
    <row r="51" spans="2:6">
      <c r="B51" s="29">
        <f t="shared" si="1"/>
        <v>49</v>
      </c>
      <c r="C51" s="30">
        <v>3656415.4347656928</v>
      </c>
      <c r="D51" s="30">
        <f t="shared" si="5"/>
        <v>2921350</v>
      </c>
      <c r="E51" s="30">
        <v>18914519.997830838</v>
      </c>
      <c r="F51" s="30"/>
    </row>
    <row r="52" spans="2:6" s="33" customFormat="1">
      <c r="B52" s="31">
        <f t="shared" si="1"/>
        <v>50</v>
      </c>
      <c r="C52" s="32">
        <v>3674113.4765602998</v>
      </c>
      <c r="D52" s="32">
        <f t="shared" si="5"/>
        <v>2921350</v>
      </c>
      <c r="E52" s="32">
        <v>19389235.985470112</v>
      </c>
      <c r="F52" s="32"/>
    </row>
    <row r="53" spans="2:6">
      <c r="C53" s="34">
        <f>SUM(C3:C52)</f>
        <v>163605957.73391449</v>
      </c>
      <c r="D53" s="34">
        <f t="shared" ref="D53:E53" si="6">SUM(D3:D52)</f>
        <v>141179000</v>
      </c>
      <c r="E53" s="34">
        <f t="shared" si="6"/>
        <v>529751656.9778505</v>
      </c>
    </row>
  </sheetData>
  <mergeCells count="1">
    <mergeCell ref="A1:F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Calculations</vt:lpstr>
      <vt:lpstr>Operator NPV</vt:lpstr>
      <vt:lpstr>CapEx Estimates</vt:lpstr>
    </vt:vector>
  </TitlesOfParts>
  <Company>The Ohio State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Weide</dc:creator>
  <cp:lastModifiedBy>test</cp:lastModifiedBy>
  <cp:lastPrinted>2012-05-17T17:00:56Z</cp:lastPrinted>
  <dcterms:created xsi:type="dcterms:W3CDTF">2011-12-07T01:49:13Z</dcterms:created>
  <dcterms:modified xsi:type="dcterms:W3CDTF">2012-05-30T14:58:22Z</dcterms:modified>
</cp:coreProperties>
</file>